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3" sheetId="1" r:id="rId1"/>
  </sheets>
  <definedNames>
    <definedName name="APPT" localSheetId="0">'Приложение 3'!#REF!</definedName>
    <definedName name="FIO" localSheetId="0">'Приложение 3'!#REF!</definedName>
    <definedName name="SIGN" localSheetId="0">'Приложение 3'!$A$22:$E$23</definedName>
  </definedNames>
  <calcPr fullCalcOnLoad="1"/>
</workbook>
</file>

<file path=xl/sharedStrings.xml><?xml version="1.0" encoding="utf-8"?>
<sst xmlns="http://schemas.openxmlformats.org/spreadsheetml/2006/main" count="1124" uniqueCount="248">
  <si>
    <t>УТВЕРЖДЕНО:</t>
  </si>
  <si>
    <t>Распределение средств бюджета  Алексеевского муниципального района по главным распорядителем средств бюджета района за 9 месяцев 2016 года</t>
  </si>
  <si>
    <t>тыс. рублей</t>
  </si>
  <si>
    <t>Наименование кода</t>
  </si>
  <si>
    <t>Ведомство</t>
  </si>
  <si>
    <t>Раздел</t>
  </si>
  <si>
    <t>Целевая статья (муниципальная программа и непрограммное направление деятельности)</t>
  </si>
  <si>
    <t>Подпрограмма</t>
  </si>
  <si>
    <t>Группа вида рас-ходов</t>
  </si>
  <si>
    <t>Изменения 2016 год</t>
  </si>
  <si>
    <t>2016 год  с учетом изменений</t>
  </si>
  <si>
    <t>Исполнено за 9 месяцев 2016 года</t>
  </si>
  <si>
    <t>% исполнения</t>
  </si>
  <si>
    <t>Алексеевская районная Дума</t>
  </si>
  <si>
    <t>901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</si>
  <si>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</si>
  <si>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</si>
  <si>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</si>
  <si>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</si>
  <si>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</si>
  <si>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</si>
  <si>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90</t>
  </si>
  <si>
    <t>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</si>
  <si>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</si>
  <si>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</si>
  <si>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 Алексеевского муниципального района</t>
  </si>
  <si>
    <t>99</t>
  </si>
  <si>
    <t>Иные бюджетные ассигнования</t>
  </si>
  <si>
    <t>Ревизионная комиссия Алексеевского муниципального района</t>
  </si>
  <si>
    <t>931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</si>
  <si>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</si>
  <si>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</si>
  <si>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Администрация Алексеевского муниципального  района</t>
  </si>
  <si>
    <t>902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</si>
  <si>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</si>
  <si>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</si>
  <si>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</si>
  <si>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</si>
  <si>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</t>
  </si>
  <si>
    <t>Центральный аппарат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</si>
  <si>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</si>
  <si>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</si>
  <si>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За счет субвенции  на создание, исполнение функций и обеспечение деятельности муниципальных комиссий по делам несовершеннолетних и защите их прав</t>
  </si>
  <si>
    <t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</si>
  <si>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Муниципальная программа  "Развитие муниципальной службы в администрации Алексеевского муниципального района Волгоградской области на 2016-2018 годы"</t>
  </si>
  <si>
    <t>01</t>
  </si>
  <si>
    <t>Судебная система</t>
  </si>
  <si>
    <t>0105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</si>
  <si>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</si>
  <si>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</si>
  <si>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0107</t>
  </si>
  <si>
    <t>Проведение выборов и референдумов</t>
  </si>
  <si>
    <t>Резервные фонды</t>
  </si>
  <si>
    <t>0111</t>
  </si>
  <si>
    <t>Другие общегосударственные вопросы</t>
  </si>
  <si>
    <t>0113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</si>
  <si>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</si>
  <si>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02</t>
  </si>
  <si>
    <t>Подпрограмма "Энергосбережение и повышение энергетической эффективности Алексеевского муниципального района"</t>
  </si>
  <si>
    <t>Предоставление субсидий бюджетным, автономным учреждениям и иным некоммерческим организациям</t>
  </si>
  <si>
    <t>Муниципальная программа "Развитие территориального общественного самоуправления Алексеевского муниципального района на 2016-2018 годы"</t>
  </si>
  <si>
    <t>03</t>
  </si>
  <si>
    <t>Предоставление субсидий бюджетным, автономным учреждениям и иным некоммерческим организациям за счет дотации областного бюджета</t>
  </si>
  <si>
    <t>Муниципальная программа "Маршрут Победы на 2016-2018 годы"</t>
  </si>
  <si>
    <t>15</t>
  </si>
  <si>
    <t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t>
  </si>
  <si>
    <t>20</t>
  </si>
  <si>
    <t>Муниципальная программа «Улучшение условий и охраны труда в Алексеевском муниципальном районе на 2014-2016 годы"</t>
  </si>
  <si>
    <t>21</t>
  </si>
  <si>
    <t>Муниципальная программа «Профилактика терроризма и экстремизма на территории  Алексеевского муниципального района на 2016-2018 годы"</t>
  </si>
  <si>
    <t>23</t>
  </si>
  <si>
    <t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t>
  </si>
  <si>
    <t>50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</si>
  <si>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t>
  </si>
  <si>
    <t>51</t>
  </si>
  <si>
    <t>Государственная  регистрация актов гражданского состояния</t>
  </si>
  <si>
    <t>Оценка недвижимости, признание прав и регулирование отношений  по муниципальной собственности</t>
  </si>
  <si>
    <t>Реализация  государственных функций, связанных с общегосударственным управлением</t>
  </si>
  <si>
    <t>Осуществлением полномочий по подготовке и проведению Всероссийской сельскохозяйственной переписи в 2016 году</t>
  </si>
  <si>
    <t>Условно утвержденные расходы</t>
  </si>
  <si>
    <t xml:space="preserve">Национальная оборона </t>
  </si>
  <si>
    <t>0200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</si>
  <si>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</si>
  <si>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</si>
  <si>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</si>
  <si>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</si>
  <si>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</si>
  <si>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</si>
  <si>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</si>
  <si>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</si>
  <si>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</si>
  <si>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0400</t>
  </si>
  <si>
    <t>Сельское хозяйство и рыболовство</t>
  </si>
  <si>
    <t>0405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</si>
  <si>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t>
  </si>
  <si>
    <t>Дорожное хозяйство (дорожные фонды)</t>
  </si>
  <si>
    <t>0409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</si>
  <si>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2014-2016 годы"</t>
  </si>
  <si>
    <t>18</t>
  </si>
  <si>
    <t>Межбюджетные трансферты</t>
  </si>
  <si>
    <t>Другие вопросы в области национальной экономики</t>
  </si>
  <si>
    <t>0412</t>
  </si>
  <si>
    <t>Муниципальная программа "Развитие и поддержка малого предпринимательства Алексеевского муниципального района на 2016-2018 годы "</t>
  </si>
  <si>
    <t>04</t>
  </si>
  <si>
    <t>Социальное обеспечение и иные выплаты населению</t>
  </si>
  <si>
    <t>Муниципальная программа "Поддержка социально ориентированных некоммерческих организаций  Алексеевского муниципального района на 2014-2016 годы "</t>
  </si>
  <si>
    <t>19</t>
  </si>
  <si>
    <t>Мероприятия по землеустройству и землепользованию</t>
  </si>
  <si>
    <t>Мероприятия в области строительства, архитектуры и градостроения</t>
  </si>
  <si>
    <t>Жилищно-коммунальное хозяйство</t>
  </si>
  <si>
    <t>0500</t>
  </si>
  <si>
    <t>Жилищное хозяйство</t>
  </si>
  <si>
    <t>0501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</si>
  <si>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</si>
  <si>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Коммунальное хозяйство</t>
  </si>
  <si>
    <t>0502</t>
  </si>
  <si>
    <t>Подпрограмма «Газификация Алексеевского муниципального района»</t>
  </si>
  <si>
    <t>Мероприятия по развитию газификации в сельской местности за счет субсидий из областного бюджета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</si>
  <si>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</si>
  <si>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Закупка товаров, работ и услуг в целях ремонта объектов муниципальной собственности</t>
  </si>
  <si>
    <t>Муниципальная программа "Устойчивое развитие сельских территорий  Алексеевского муниципального района на  2014-2017 годы и на период до 2020 года"</t>
  </si>
  <si>
    <t>24</t>
  </si>
  <si>
    <t>Капитальные вложения в объекты государственной (муниципальной) собственности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</si>
  <si>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</si>
  <si>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Охрана окружающей среды</t>
  </si>
  <si>
    <t>0600</t>
  </si>
  <si>
    <t>Муниципальная программа  «Охрана окружающей среды Алексеевского муниципального района на 2016-2018 годы»</t>
  </si>
  <si>
    <t>0605</t>
  </si>
  <si>
    <t>05</t>
  </si>
  <si>
    <t>Образование</t>
  </si>
  <si>
    <t>0700</t>
  </si>
  <si>
    <t>Дошкольное образование</t>
  </si>
  <si>
    <t>0701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</si>
  <si>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</si>
  <si>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t>
  </si>
  <si>
    <t>22</t>
  </si>
  <si>
    <t>Ведомственная целевая программа "Развитие дошкольного образования детей на  территории  Алексеевского муниципального района на 2016-2018 годы"</t>
  </si>
  <si>
    <t>52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</si>
  <si>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</si>
  <si>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01.01.2016 г.  за счет средств областного бюджета </t>
  </si>
  <si>
    <t>За счет средств на расходы на осуществление социальных гарантий молодым специалистам</t>
  </si>
  <si>
    <t>Общее образование</t>
  </si>
  <si>
    <t>0702</t>
  </si>
  <si>
    <t>Школы-детские сады, школы начальные, неполные средние и средние</t>
  </si>
  <si>
    <t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t>
  </si>
  <si>
    <t>16</t>
  </si>
  <si>
    <t>Муниципальная программа "Развитие физической культуры и спорта в Алексеевском муниципальном районе на 2016-2018 годы"</t>
  </si>
  <si>
    <t>17</t>
  </si>
  <si>
    <t>Предоставление субсидий бюджетным, автономным учреждениям и иным некоммерческим организациям за счет средств местного бюджета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</si>
  <si>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</si>
  <si>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Предоставление субсидий бюджетным, автономным учреждениям и иным некоммерческим организациям за счет средств федерального бюджета</t>
  </si>
  <si>
    <t>Ведомственная целевая программа "Развитие общего образования детей на  территории  Алексеевского муниципального района на 2014-2016 годы"</t>
  </si>
  <si>
    <t>53</t>
  </si>
  <si>
    <t>За счет средств бюджета муниципального района</t>
  </si>
  <si>
    <t xml:space="preserve">За счет средств областного бюджета 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</si>
  <si>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01.01.2016 г. за счет средств областного бюджета </t>
  </si>
  <si>
    <t>За счет средств областного бюджета на питание</t>
  </si>
  <si>
    <t>За счет средств областного бюджета на образовательный процесс</t>
  </si>
  <si>
    <t>За счет средств на софинансирование из федерального бюджета</t>
  </si>
  <si>
    <t>Учреждения по внешкольной работе с детьми</t>
  </si>
  <si>
    <t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t>
  </si>
  <si>
    <t>54</t>
  </si>
  <si>
    <t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t>
  </si>
  <si>
    <t>55</t>
  </si>
  <si>
    <t>Молодежная политика и оздоровление детей</t>
  </si>
  <si>
    <t>0707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</si>
  <si>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t>
  </si>
  <si>
    <t>07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</si>
  <si>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</si>
  <si>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</si>
  <si>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Подпрограмма " Профилактика безнадзорности , правонарушений и неблагополучия несовершеннолетних"</t>
  </si>
  <si>
    <t>Муниципальная программа "Организация отдыха и оздоровление детей в Алексеевском муниципальном районе Волгоградской области на 2016-2018 годы"</t>
  </si>
  <si>
    <t>10</t>
  </si>
  <si>
    <t>Ведомственная целевая программа "Молодежная политика  на территории Алексеевского муниципального района на 2016-2018 годы" (СДЦ)</t>
  </si>
  <si>
    <t>56</t>
  </si>
  <si>
    <t xml:space="preserve"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t>
  </si>
  <si>
    <t>57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</si>
  <si>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</si>
  <si>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</si>
  <si>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</si>
  <si>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Другие вопросы в области образования</t>
  </si>
  <si>
    <t>0709</t>
  </si>
  <si>
    <t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t>
  </si>
  <si>
    <t>08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</si>
  <si>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t>
  </si>
  <si>
    <t>58</t>
  </si>
  <si>
    <t xml:space="preserve">Культура, кинематография </t>
  </si>
  <si>
    <t>0800</t>
  </si>
  <si>
    <t>Муниципальная программа  «Развитие народных художественных промыслов Алексеевского  муниципального района на 2016-2018 годы»</t>
  </si>
  <si>
    <t>0801</t>
  </si>
  <si>
    <t>12</t>
  </si>
  <si>
    <t>Муниципальная программа "О поддержке деятельности казачьих обществ  Алексеевского муниципального района на 2016-2018 годы"</t>
  </si>
  <si>
    <t>13</t>
  </si>
  <si>
    <t>Ведомственная целевая программа "Развитие культуры и искусства в Алексеевском муниципальном районе на 2016-2018 годы"</t>
  </si>
  <si>
    <t>59</t>
  </si>
  <si>
    <t>Дворцы и дома культуры, другие учреждения культуры</t>
  </si>
  <si>
    <t>Музей</t>
  </si>
  <si>
    <t>Библиотеки</t>
  </si>
  <si>
    <t>Мероприятия по комплектованию книжных фондов библиотек муниципальных образований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</si>
  <si>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</si>
  <si>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Кинематография</t>
  </si>
  <si>
    <t>0802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</si>
  <si>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</si>
  <si>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</si>
  <si>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</si>
  <si>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</si>
  <si>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</si>
  <si>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</si>
  <si>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</si>
  <si>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1003</t>
  </si>
  <si>
    <t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t>
  </si>
  <si>
    <t>14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</si>
  <si>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</si>
  <si>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</si>
  <si>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</si>
  <si>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</si>
  <si>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Охрана семьи и детства</t>
  </si>
  <si>
    <t>1004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</si>
  <si>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</si>
  <si>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Социальные выплаты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</si>
  <si>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</si>
  <si>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</si>
  <si>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</si>
  <si>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Физическая культура и спорт</t>
  </si>
  <si>
    <t>1100</t>
  </si>
  <si>
    <t>1105</t>
  </si>
  <si>
    <t xml:space="preserve">Средства массовой информации </t>
  </si>
  <si>
    <t>1200</t>
  </si>
  <si>
    <t>Телевидение и радиовещание</t>
  </si>
  <si>
    <t>1201</t>
  </si>
  <si>
    <t>Периодическая печать и издательство</t>
  </si>
  <si>
    <t>1202</t>
  </si>
  <si>
    <t>Ведомственная целевая программа "Поддержка средств массовой информации  в Алексеевском муниципальном районе на 2016-2018 годы"</t>
  </si>
  <si>
    <t>61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</si>
  <si>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</si>
  <si>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 xml:space="preserve">Обслуживание государственного и муниципального долга </t>
  </si>
  <si>
    <t>1300</t>
  </si>
  <si>
    <t>Обслуживание государственного внутреннего и муниципального долга</t>
  </si>
  <si>
    <t>1301</t>
  </si>
  <si>
    <t xml:space="preserve">Обслуживание  государственного (муниципального) долга 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</si>
  <si>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</si>
  <si>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</si>
  <si>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</si>
  <si>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</si>
  <si>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 xml:space="preserve">Всего </t>
  </si>
  <si>
    <t>Приложение 3</t>
  </si>
  <si>
    <t>решением Алексеевской районной Думы</t>
  </si>
  <si>
    <t>от  31.10.2016 г.    № 54/332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</si>
</sst>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0000"/>
    <numFmt numFmtId="166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8.5"/>
      <name val="MS Sans Serif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right"/>
    </xf>
    <xf numFmtId="0" fontId="18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NumberFormat="1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1" fontId="22" fillId="0" borderId="0" xfId="0" applyNumberFormat="1" applyFont="1" applyFill="1" applyAlignment="1">
      <alignment horizontal="center" vertical="top" wrapText="1"/>
    </xf>
    <xf numFmtId="0" fontId="22" fillId="0" borderId="0" xfId="0" applyNumberFormat="1" applyFont="1" applyAlignment="1">
      <alignment horizontal="left" vertical="top" wrapText="1"/>
    </xf>
    <xf numFmtId="164" fontId="22" fillId="0" borderId="0" xfId="0" applyNumberFormat="1" applyFont="1" applyAlignment="1">
      <alignment horizontal="center" vertical="top" wrapText="1"/>
    </xf>
    <xf numFmtId="164" fontId="23" fillId="0" borderId="0" xfId="0" applyNumberFormat="1" applyFont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164" fontId="26" fillId="24" borderId="11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165" fontId="24" fillId="24" borderId="10" xfId="0" applyNumberFormat="1" applyFont="1" applyFill="1" applyBorder="1" applyAlignment="1">
      <alignment horizontal="right" vertical="center" wrapText="1"/>
    </xf>
    <xf numFmtId="166" fontId="24" fillId="24" borderId="10" xfId="0" applyNumberFormat="1" applyFont="1" applyFill="1" applyBorder="1" applyAlignment="1">
      <alignment horizontal="right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24" fillId="24" borderId="10" xfId="0" applyNumberFormat="1" applyFont="1" applyFill="1" applyBorder="1" applyAlignment="1">
      <alignment horizontal="right" wrapText="1"/>
    </xf>
    <xf numFmtId="166" fontId="24" fillId="24" borderId="10" xfId="0" applyNumberFormat="1" applyFont="1" applyFill="1" applyBorder="1" applyAlignment="1">
      <alignment horizontal="right" wrapText="1"/>
    </xf>
    <xf numFmtId="49" fontId="24" fillId="24" borderId="10" xfId="0" applyNumberFormat="1" applyFont="1" applyFill="1" applyBorder="1" applyAlignment="1">
      <alignment horizontal="center" wrapText="1"/>
    </xf>
    <xf numFmtId="1" fontId="24" fillId="24" borderId="10" xfId="0" applyNumberFormat="1" applyFont="1" applyFill="1" applyBorder="1" applyAlignment="1">
      <alignment horizontal="center" wrapText="1"/>
    </xf>
    <xf numFmtId="0" fontId="24" fillId="24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wrapText="1"/>
    </xf>
    <xf numFmtId="165" fontId="24" fillId="24" borderId="10" xfId="0" applyNumberFormat="1" applyFont="1" applyFill="1" applyBorder="1" applyAlignment="1">
      <alignment horizontal="right" vertical="center"/>
    </xf>
    <xf numFmtId="166" fontId="24" fillId="24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/>
    </xf>
    <xf numFmtId="0" fontId="24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64" fontId="24" fillId="2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3"/>
  <sheetViews>
    <sheetView showGridLines="0" tabSelected="1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I8" sqref="I8"/>
    </sheetView>
  </sheetViews>
  <sheetFormatPr defaultColWidth="9.140625" defaultRowHeight="12.75" outlineLevelRow="5"/>
  <cols>
    <col min="1" max="1" width="51.7109375" style="1" customWidth="1"/>
    <col min="2" max="2" width="7.00390625" style="2" customWidth="1"/>
    <col min="3" max="3" width="6.7109375" style="2" customWidth="1"/>
    <col min="4" max="4" width="5.7109375" style="3" customWidth="1"/>
    <col min="5" max="5" width="5.421875" style="46" customWidth="1"/>
    <col min="6" max="6" width="6.00390625" style="47" customWidth="1"/>
    <col min="7" max="7" width="12.7109375" style="48" hidden="1" customWidth="1"/>
    <col min="8" max="8" width="14.57421875" style="48" customWidth="1"/>
    <col min="9" max="9" width="16.140625" style="48" customWidth="1"/>
    <col min="10" max="10" width="15.00390625" style="48" customWidth="1"/>
    <col min="11" max="16384" width="9.140625" style="6" customWidth="1"/>
  </cols>
  <sheetData>
    <row r="1" spans="5:10" ht="18.75">
      <c r="E1" s="4"/>
      <c r="F1" s="5"/>
      <c r="G1" s="50" t="s">
        <v>245</v>
      </c>
      <c r="H1" s="50"/>
      <c r="I1" s="50"/>
      <c r="J1" s="50"/>
    </row>
    <row r="2" spans="5:10" ht="18.75">
      <c r="E2" s="4"/>
      <c r="F2" s="50" t="s">
        <v>0</v>
      </c>
      <c r="G2" s="50"/>
      <c r="H2" s="50"/>
      <c r="I2" s="50"/>
      <c r="J2" s="50"/>
    </row>
    <row r="3" spans="5:10" ht="18.75">
      <c r="E3" s="4"/>
      <c r="F3" s="50" t="s">
        <v>246</v>
      </c>
      <c r="G3" s="50"/>
      <c r="H3" s="50"/>
      <c r="I3" s="50"/>
      <c r="J3" s="50"/>
    </row>
    <row r="4" spans="5:10" ht="18.75" customHeight="1">
      <c r="E4" s="50" t="s">
        <v>247</v>
      </c>
      <c r="F4" s="50"/>
      <c r="G4" s="50"/>
      <c r="H4" s="50"/>
      <c r="I4" s="50"/>
      <c r="J4" s="50"/>
    </row>
    <row r="5" spans="1:10" ht="18.75">
      <c r="A5" s="7"/>
      <c r="B5" s="8"/>
      <c r="C5" s="8"/>
      <c r="D5" s="9"/>
      <c r="E5" s="50"/>
      <c r="F5" s="50"/>
      <c r="G5" s="50"/>
      <c r="H5" s="50"/>
      <c r="I5" s="50"/>
      <c r="J5" s="50"/>
    </row>
    <row r="6" spans="1:10" ht="33.75" customHeight="1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10"/>
      <c r="B7" s="11"/>
      <c r="C7" s="11"/>
      <c r="D7" s="12"/>
      <c r="E7" s="13"/>
      <c r="F7" s="14"/>
      <c r="G7" s="15"/>
      <c r="H7" s="15"/>
      <c r="I7" s="15"/>
      <c r="J7" s="15"/>
    </row>
    <row r="8" spans="1:10" ht="12.75">
      <c r="A8" s="10"/>
      <c r="B8" s="11"/>
      <c r="C8" s="11"/>
      <c r="D8" s="12"/>
      <c r="E8" s="13"/>
      <c r="F8" s="14"/>
      <c r="G8" s="15"/>
      <c r="H8" s="15"/>
      <c r="I8" s="15"/>
      <c r="J8" s="16" t="s">
        <v>2</v>
      </c>
    </row>
    <row r="9" spans="1:10" ht="91.5" customHeight="1">
      <c r="A9" s="17" t="s">
        <v>3</v>
      </c>
      <c r="B9" s="18" t="s">
        <v>4</v>
      </c>
      <c r="C9" s="19" t="s">
        <v>5</v>
      </c>
      <c r="D9" s="20" t="s">
        <v>6</v>
      </c>
      <c r="E9" s="21" t="s">
        <v>7</v>
      </c>
      <c r="F9" s="22" t="s">
        <v>8</v>
      </c>
      <c r="G9" s="23" t="s">
        <v>9</v>
      </c>
      <c r="H9" s="23" t="s">
        <v>10</v>
      </c>
      <c r="I9" s="24" t="s">
        <v>11</v>
      </c>
      <c r="J9" s="24" t="s">
        <v>12</v>
      </c>
    </row>
    <row r="10" spans="1:10" ht="15.75" outlineLevel="1">
      <c r="A10" s="25" t="s">
        <v>13</v>
      </c>
      <c r="B10" s="26" t="s">
        <v>14</v>
      </c>
      <c r="C10" s="26"/>
      <c r="D10" s="26"/>
      <c r="E10" s="27" t="s">
        <v>15</v>
      </c>
      <c r="F10" s="28"/>
      <c r="G10" s="29">
        <f aca="true" t="shared" si="0" ref="G10:I11">SUM(G11)</f>
        <v>0</v>
      </c>
      <c r="H10" s="30">
        <f t="shared" si="0"/>
        <v>380</v>
      </c>
      <c r="I10" s="30">
        <f t="shared" si="0"/>
        <v>270.07784</v>
      </c>
      <c r="J10" s="30">
        <f>SUM(I10/H10)*100</f>
        <v>71.07311578947369</v>
      </c>
    </row>
    <row r="11" spans="1:10" ht="15.75" outlineLevel="1">
      <c r="A11" s="25" t="s">
        <v>16</v>
      </c>
      <c r="B11" s="26" t="s">
        <v>14</v>
      </c>
      <c r="C11" s="26" t="s">
        <v>17</v>
      </c>
      <c r="D11" s="26"/>
      <c r="E11" s="27"/>
      <c r="F11" s="31"/>
      <c r="G11" s="29">
        <f t="shared" si="0"/>
        <v>0</v>
      </c>
      <c r="H11" s="30">
        <f t="shared" si="0"/>
        <v>380</v>
      </c>
      <c r="I11" s="30">
        <f t="shared" si="0"/>
        <v>270.07784</v>
      </c>
      <c r="J11" s="30">
        <f aca="true" t="shared" si="1" ref="J11:J74">SUM(I11/H11)*100</f>
        <v>71.07311578947369</v>
      </c>
    </row>
    <row r="12" spans="1:10" ht="60.75" customHeight="1" outlineLevel="2">
      <c r="A12" s="25" t="s">
        <v>18</v>
      </c>
      <c r="B12" s="26" t="s">
        <v>14</v>
      </c>
      <c r="C12" s="26" t="s">
        <v>19</v>
      </c>
      <c r="D12" s="26"/>
      <c r="E12" s="27"/>
      <c r="F12" s="28"/>
      <c r="G12" s="29">
        <f>SUM(G13+G16)</f>
        <v>0</v>
      </c>
      <c r="H12" s="30">
        <f>SUM(H13+H16)</f>
        <v>380</v>
      </c>
      <c r="I12" s="30">
        <f>SUM(I13+I16)</f>
        <v>270.07784</v>
      </c>
      <c r="J12" s="30">
        <f t="shared" si="1"/>
        <v>71.07311578947369</v>
      </c>
    </row>
    <row r="13" spans="1:10" ht="45" customHeight="1" outlineLevel="2">
      <c r="A13" s="25" t="s">
        <v>20</v>
      </c>
      <c r="B13" s="26" t="s">
        <v>14</v>
      </c>
      <c r="C13" s="26" t="s">
        <v>19</v>
      </c>
      <c r="D13" s="26" t="s">
        <v>21</v>
      </c>
      <c r="E13" s="27" t="s">
        <v>22</v>
      </c>
      <c r="F13" s="28"/>
      <c r="G13" s="29">
        <f>SUM(G14:G15)</f>
        <v>0</v>
      </c>
      <c r="H13" s="30">
        <f>SUM(H14:H15)</f>
        <v>379.9</v>
      </c>
      <c r="I13" s="30">
        <f>SUM(I14:I15)</f>
        <v>270.07783</v>
      </c>
      <c r="J13" s="30">
        <f t="shared" si="1"/>
        <v>71.0918215319821</v>
      </c>
    </row>
    <row r="14" spans="1:10" ht="76.5" customHeight="1" outlineLevel="2">
      <c r="A14" s="25" t="s">
        <v>23</v>
      </c>
      <c r="B14" s="26" t="s">
        <v>14</v>
      </c>
      <c r="C14" s="26" t="s">
        <v>19</v>
      </c>
      <c r="D14" s="26" t="s">
        <v>21</v>
      </c>
      <c r="E14" s="27" t="s">
        <v>22</v>
      </c>
      <c r="F14" s="31">
        <v>100</v>
      </c>
      <c r="G14" s="29"/>
      <c r="H14" s="30">
        <v>332.4</v>
      </c>
      <c r="I14" s="30">
        <v>248.45348</v>
      </c>
      <c r="J14" s="30">
        <f t="shared" si="1"/>
        <v>74.74533092659448</v>
      </c>
    </row>
    <row r="15" spans="1:10" s="32" customFormat="1" ht="31.5" outlineLevel="3">
      <c r="A15" s="25" t="s">
        <v>24</v>
      </c>
      <c r="B15" s="26" t="s">
        <v>14</v>
      </c>
      <c r="C15" s="26" t="s">
        <v>19</v>
      </c>
      <c r="D15" s="26" t="s">
        <v>21</v>
      </c>
      <c r="E15" s="27">
        <v>0</v>
      </c>
      <c r="F15" s="31">
        <v>200</v>
      </c>
      <c r="G15" s="29"/>
      <c r="H15" s="30">
        <v>47.5</v>
      </c>
      <c r="I15" s="30">
        <v>21.62435</v>
      </c>
      <c r="J15" s="30">
        <f t="shared" si="1"/>
        <v>45.52494736842105</v>
      </c>
    </row>
    <row r="16" spans="1:10" s="32" customFormat="1" ht="47.25" outlineLevel="3">
      <c r="A16" s="25" t="s">
        <v>25</v>
      </c>
      <c r="B16" s="26" t="s">
        <v>14</v>
      </c>
      <c r="C16" s="26" t="s">
        <v>19</v>
      </c>
      <c r="D16" s="26" t="s">
        <v>26</v>
      </c>
      <c r="E16" s="27">
        <v>0</v>
      </c>
      <c r="F16" s="31"/>
      <c r="G16" s="33">
        <f>SUM(G17)</f>
        <v>0</v>
      </c>
      <c r="H16" s="34">
        <f>SUM(H17)</f>
        <v>0.1</v>
      </c>
      <c r="I16" s="34">
        <f>SUM(I17)</f>
        <v>1E-05</v>
      </c>
      <c r="J16" s="30">
        <f t="shared" si="1"/>
        <v>0.01</v>
      </c>
    </row>
    <row r="17" spans="1:10" s="32" customFormat="1" ht="15.75" outlineLevel="3">
      <c r="A17" s="25" t="s">
        <v>27</v>
      </c>
      <c r="B17" s="26" t="s">
        <v>14</v>
      </c>
      <c r="C17" s="26" t="s">
        <v>19</v>
      </c>
      <c r="D17" s="26" t="s">
        <v>26</v>
      </c>
      <c r="E17" s="27">
        <v>0</v>
      </c>
      <c r="F17" s="31">
        <v>800</v>
      </c>
      <c r="G17" s="29"/>
      <c r="H17" s="30">
        <f>0.05+0.05</f>
        <v>0.1</v>
      </c>
      <c r="I17" s="30">
        <v>1E-05</v>
      </c>
      <c r="J17" s="30">
        <f t="shared" si="1"/>
        <v>0.01</v>
      </c>
    </row>
    <row r="18" spans="1:10" s="32" customFormat="1" ht="31.5" outlineLevel="3">
      <c r="A18" s="25" t="s">
        <v>28</v>
      </c>
      <c r="B18" s="26" t="s">
        <v>29</v>
      </c>
      <c r="C18" s="26"/>
      <c r="D18" s="26"/>
      <c r="E18" s="27"/>
      <c r="F18" s="28"/>
      <c r="G18" s="29">
        <f aca="true" t="shared" si="2" ref="G18:I19">SUM(G19)</f>
        <v>0</v>
      </c>
      <c r="H18" s="30">
        <f t="shared" si="2"/>
        <v>1486</v>
      </c>
      <c r="I18" s="30">
        <f t="shared" si="2"/>
        <v>925.07697</v>
      </c>
      <c r="J18" s="30">
        <f t="shared" si="1"/>
        <v>62.25282436069987</v>
      </c>
    </row>
    <row r="19" spans="1:10" s="32" customFormat="1" ht="15.75" outlineLevel="3">
      <c r="A19" s="25" t="s">
        <v>16</v>
      </c>
      <c r="B19" s="26" t="s">
        <v>29</v>
      </c>
      <c r="C19" s="26" t="s">
        <v>17</v>
      </c>
      <c r="D19" s="35"/>
      <c r="E19" s="36"/>
      <c r="F19" s="37"/>
      <c r="G19" s="29">
        <f t="shared" si="2"/>
        <v>0</v>
      </c>
      <c r="H19" s="30">
        <f t="shared" si="2"/>
        <v>1486</v>
      </c>
      <c r="I19" s="30">
        <f t="shared" si="2"/>
        <v>925.07697</v>
      </c>
      <c r="J19" s="30">
        <f t="shared" si="1"/>
        <v>62.25282436069987</v>
      </c>
    </row>
    <row r="20" spans="1:10" s="32" customFormat="1" ht="56.25" customHeight="1" outlineLevel="3">
      <c r="A20" s="25" t="s">
        <v>30</v>
      </c>
      <c r="B20" s="26" t="s">
        <v>29</v>
      </c>
      <c r="C20" s="26" t="s">
        <v>31</v>
      </c>
      <c r="D20" s="26"/>
      <c r="E20" s="27"/>
      <c r="F20" s="28"/>
      <c r="G20" s="29">
        <f>SUM(G21+G24)</f>
        <v>0</v>
      </c>
      <c r="H20" s="30">
        <f>SUM(H21+H24)</f>
        <v>1486</v>
      </c>
      <c r="I20" s="30">
        <f>SUM(I21+I24)</f>
        <v>925.07697</v>
      </c>
      <c r="J20" s="30">
        <f t="shared" si="1"/>
        <v>62.25282436069987</v>
      </c>
    </row>
    <row r="21" spans="1:10" s="32" customFormat="1" ht="51" customHeight="1" outlineLevel="3">
      <c r="A21" s="25" t="s">
        <v>20</v>
      </c>
      <c r="B21" s="26" t="s">
        <v>29</v>
      </c>
      <c r="C21" s="26" t="s">
        <v>31</v>
      </c>
      <c r="D21" s="26" t="s">
        <v>21</v>
      </c>
      <c r="E21" s="27" t="s">
        <v>22</v>
      </c>
      <c r="F21" s="28"/>
      <c r="G21" s="29">
        <f>SUM(G22:G23)</f>
        <v>0</v>
      </c>
      <c r="H21" s="30">
        <f>SUM(H22:H23)</f>
        <v>1485.5</v>
      </c>
      <c r="I21" s="30">
        <f>SUM(I22:I23)</f>
        <v>925.07697</v>
      </c>
      <c r="J21" s="30">
        <f t="shared" si="1"/>
        <v>62.27377785257489</v>
      </c>
    </row>
    <row r="22" spans="1:10" s="32" customFormat="1" ht="78" customHeight="1" outlineLevel="3">
      <c r="A22" s="25" t="s">
        <v>23</v>
      </c>
      <c r="B22" s="26" t="s">
        <v>29</v>
      </c>
      <c r="C22" s="26" t="s">
        <v>31</v>
      </c>
      <c r="D22" s="26" t="s">
        <v>21</v>
      </c>
      <c r="E22" s="27" t="s">
        <v>22</v>
      </c>
      <c r="F22" s="31">
        <v>100</v>
      </c>
      <c r="G22" s="29"/>
      <c r="H22" s="30">
        <f>1460.8+11.45</f>
        <v>1472.25</v>
      </c>
      <c r="I22" s="30">
        <v>925.07697</v>
      </c>
      <c r="J22" s="30">
        <f t="shared" si="1"/>
        <v>62.83423127865512</v>
      </c>
    </row>
    <row r="23" spans="1:10" s="32" customFormat="1" ht="31.5" outlineLevel="3">
      <c r="A23" s="25" t="s">
        <v>24</v>
      </c>
      <c r="B23" s="26" t="s">
        <v>29</v>
      </c>
      <c r="C23" s="26" t="s">
        <v>31</v>
      </c>
      <c r="D23" s="26" t="s">
        <v>21</v>
      </c>
      <c r="E23" s="27">
        <v>0</v>
      </c>
      <c r="F23" s="31">
        <v>200</v>
      </c>
      <c r="G23" s="29"/>
      <c r="H23" s="30">
        <f>24.7-11.45</f>
        <v>13.25</v>
      </c>
      <c r="I23" s="30">
        <v>0</v>
      </c>
      <c r="J23" s="30">
        <f t="shared" si="1"/>
        <v>0</v>
      </c>
    </row>
    <row r="24" spans="1:10" s="32" customFormat="1" ht="47.25" outlineLevel="3">
      <c r="A24" s="25" t="s">
        <v>25</v>
      </c>
      <c r="B24" s="26" t="s">
        <v>29</v>
      </c>
      <c r="C24" s="26" t="s">
        <v>31</v>
      </c>
      <c r="D24" s="26" t="s">
        <v>26</v>
      </c>
      <c r="E24" s="27">
        <v>0</v>
      </c>
      <c r="F24" s="31"/>
      <c r="G24" s="33">
        <f>SUM(G25)</f>
        <v>0</v>
      </c>
      <c r="H24" s="34">
        <f>SUM(H25)</f>
        <v>0.5</v>
      </c>
      <c r="I24" s="34">
        <f>SUM(I25)</f>
        <v>0</v>
      </c>
      <c r="J24" s="30">
        <f t="shared" si="1"/>
        <v>0</v>
      </c>
    </row>
    <row r="25" spans="1:10" s="32" customFormat="1" ht="15.75" outlineLevel="3">
      <c r="A25" s="25" t="s">
        <v>27</v>
      </c>
      <c r="B25" s="26" t="s">
        <v>29</v>
      </c>
      <c r="C25" s="26" t="s">
        <v>31</v>
      </c>
      <c r="D25" s="26" t="s">
        <v>26</v>
      </c>
      <c r="E25" s="27">
        <v>0</v>
      </c>
      <c r="F25" s="31">
        <v>800</v>
      </c>
      <c r="G25" s="29"/>
      <c r="H25" s="30">
        <f>0.5</f>
        <v>0.5</v>
      </c>
      <c r="I25" s="30">
        <v>0</v>
      </c>
      <c r="J25" s="30">
        <f t="shared" si="1"/>
        <v>0</v>
      </c>
    </row>
    <row r="26" spans="1:10" s="32" customFormat="1" ht="31.5" outlineLevel="3">
      <c r="A26" s="25" t="s">
        <v>32</v>
      </c>
      <c r="B26" s="26" t="s">
        <v>33</v>
      </c>
      <c r="C26" s="26"/>
      <c r="D26" s="26"/>
      <c r="E26" s="27"/>
      <c r="F26" s="28"/>
      <c r="G26" s="29">
        <f>SUM(G27+G99+G104+G111+G133+G153+G156+G234+G253+G276+G279+G285+G289)</f>
        <v>471.36</v>
      </c>
      <c r="H26" s="30">
        <f>SUM(H27+H99+H104+H111+H133+H153+H156+H234+H253+H276+H279+H285+H289)</f>
        <v>288208.76797</v>
      </c>
      <c r="I26" s="30">
        <f>SUM(I27+I99+I104+I111+I133+I153+I156+I234+I253+I276+I279+I285+I289)</f>
        <v>215709.87951</v>
      </c>
      <c r="J26" s="30">
        <f t="shared" si="1"/>
        <v>74.84500941083566</v>
      </c>
    </row>
    <row r="27" spans="1:10" s="32" customFormat="1" ht="15.75" outlineLevel="3">
      <c r="A27" s="25" t="s">
        <v>16</v>
      </c>
      <c r="B27" s="26" t="s">
        <v>33</v>
      </c>
      <c r="C27" s="26" t="s">
        <v>17</v>
      </c>
      <c r="D27" s="26"/>
      <c r="E27" s="27"/>
      <c r="F27" s="31"/>
      <c r="G27" s="29">
        <f>SUM(G28+G31+G57+G61+G64+G53)</f>
        <v>-200</v>
      </c>
      <c r="H27" s="30">
        <f>SUM(H28+H31+H57+H61+H64+H53)</f>
        <v>68930.30384000001</v>
      </c>
      <c r="I27" s="30">
        <f>SUM(I28+I31+I57+I61+I64+I53)</f>
        <v>57627.75128</v>
      </c>
      <c r="J27" s="30">
        <f t="shared" si="1"/>
        <v>83.60292653542434</v>
      </c>
    </row>
    <row r="28" spans="1:10" s="32" customFormat="1" ht="47.25" outlineLevel="3">
      <c r="A28" s="25" t="s">
        <v>34</v>
      </c>
      <c r="B28" s="26" t="s">
        <v>33</v>
      </c>
      <c r="C28" s="26" t="s">
        <v>35</v>
      </c>
      <c r="D28" s="26"/>
      <c r="E28" s="27"/>
      <c r="F28" s="28"/>
      <c r="G28" s="29">
        <f>SUM(G30)</f>
        <v>0</v>
      </c>
      <c r="H28" s="30">
        <f>SUM(H30)</f>
        <v>1012</v>
      </c>
      <c r="I28" s="30">
        <f>SUM(I30)</f>
        <v>652.92959</v>
      </c>
      <c r="J28" s="30">
        <f t="shared" si="1"/>
        <v>64.51873418972332</v>
      </c>
    </row>
    <row r="29" spans="1:10" s="32" customFormat="1" ht="53.25" customHeight="1" outlineLevel="3">
      <c r="A29" s="25" t="s">
        <v>20</v>
      </c>
      <c r="B29" s="26" t="s">
        <v>33</v>
      </c>
      <c r="C29" s="26" t="s">
        <v>35</v>
      </c>
      <c r="D29" s="26" t="s">
        <v>21</v>
      </c>
      <c r="E29" s="27" t="s">
        <v>22</v>
      </c>
      <c r="F29" s="31"/>
      <c r="G29" s="29">
        <f>SUM(G30)</f>
        <v>0</v>
      </c>
      <c r="H29" s="30">
        <f>SUM(H30)</f>
        <v>1012</v>
      </c>
      <c r="I29" s="30">
        <f>SUM(I30)</f>
        <v>652.92959</v>
      </c>
      <c r="J29" s="30">
        <f t="shared" si="1"/>
        <v>64.51873418972332</v>
      </c>
    </row>
    <row r="30" spans="1:10" ht="82.5" customHeight="1" outlineLevel="1">
      <c r="A30" s="25" t="s">
        <v>23</v>
      </c>
      <c r="B30" s="26" t="s">
        <v>33</v>
      </c>
      <c r="C30" s="26" t="s">
        <v>35</v>
      </c>
      <c r="D30" s="26" t="s">
        <v>21</v>
      </c>
      <c r="E30" s="27">
        <v>0</v>
      </c>
      <c r="F30" s="31">
        <v>100</v>
      </c>
      <c r="G30" s="29"/>
      <c r="H30" s="30">
        <f>600+412</f>
        <v>1012</v>
      </c>
      <c r="I30" s="30">
        <v>652.92959</v>
      </c>
      <c r="J30" s="30">
        <f t="shared" si="1"/>
        <v>64.51873418972332</v>
      </c>
    </row>
    <row r="31" spans="1:10" ht="60.75" customHeight="1" outlineLevel="2">
      <c r="A31" s="38" t="s">
        <v>36</v>
      </c>
      <c r="B31" s="26" t="s">
        <v>33</v>
      </c>
      <c r="C31" s="26" t="s">
        <v>37</v>
      </c>
      <c r="D31" s="26"/>
      <c r="E31" s="27"/>
      <c r="F31" s="31"/>
      <c r="G31" s="29">
        <f>SUM(G32+G51)</f>
        <v>0</v>
      </c>
      <c r="H31" s="30">
        <f>SUM(H32+H51)</f>
        <v>28744.7</v>
      </c>
      <c r="I31" s="30">
        <f>SUM(I32+I51)</f>
        <v>21629.37327</v>
      </c>
      <c r="J31" s="30">
        <f t="shared" si="1"/>
        <v>75.24647420220076</v>
      </c>
    </row>
    <row r="32" spans="1:10" s="32" customFormat="1" ht="54.75" customHeight="1" outlineLevel="3">
      <c r="A32" s="25" t="s">
        <v>20</v>
      </c>
      <c r="B32" s="26" t="s">
        <v>33</v>
      </c>
      <c r="C32" s="26" t="s">
        <v>37</v>
      </c>
      <c r="D32" s="26" t="s">
        <v>21</v>
      </c>
      <c r="E32" s="27">
        <v>0</v>
      </c>
      <c r="F32" s="31"/>
      <c r="G32" s="29">
        <f>SUM(G33+G35+G38)</f>
        <v>0</v>
      </c>
      <c r="H32" s="30">
        <f>SUM(H33+H35+H38)</f>
        <v>28694.7</v>
      </c>
      <c r="I32" s="30">
        <f>SUM(I33+I35+I38)</f>
        <v>21603.07327</v>
      </c>
      <c r="J32" s="30">
        <f t="shared" si="1"/>
        <v>75.28593527724632</v>
      </c>
    </row>
    <row r="33" spans="1:10" s="32" customFormat="1" ht="21" customHeight="1" outlineLevel="3">
      <c r="A33" s="25" t="s">
        <v>38</v>
      </c>
      <c r="B33" s="26" t="s">
        <v>33</v>
      </c>
      <c r="C33" s="26" t="s">
        <v>37</v>
      </c>
      <c r="D33" s="26" t="s">
        <v>21</v>
      </c>
      <c r="E33" s="27">
        <v>0</v>
      </c>
      <c r="F33" s="31"/>
      <c r="G33" s="29">
        <f>SUM(G34)</f>
        <v>0</v>
      </c>
      <c r="H33" s="30">
        <f>SUM(H34)</f>
        <v>1367.1</v>
      </c>
      <c r="I33" s="30">
        <f>SUM(I34)</f>
        <v>1117.66475</v>
      </c>
      <c r="J33" s="30">
        <f t="shared" si="1"/>
        <v>81.75442542608441</v>
      </c>
    </row>
    <row r="34" spans="1:10" s="32" customFormat="1" ht="86.25" customHeight="1" outlineLevel="3">
      <c r="A34" s="38" t="s">
        <v>23</v>
      </c>
      <c r="B34" s="26" t="s">
        <v>33</v>
      </c>
      <c r="C34" s="26" t="s">
        <v>37</v>
      </c>
      <c r="D34" s="26" t="s">
        <v>21</v>
      </c>
      <c r="E34" s="27">
        <v>0</v>
      </c>
      <c r="F34" s="31">
        <v>100</v>
      </c>
      <c r="G34" s="29"/>
      <c r="H34" s="30">
        <v>1367.1</v>
      </c>
      <c r="I34" s="30">
        <v>1117.66475</v>
      </c>
      <c r="J34" s="30">
        <f t="shared" si="1"/>
        <v>81.75442542608441</v>
      </c>
    </row>
    <row r="35" spans="1:10" ht="15.75" outlineLevel="1">
      <c r="A35" s="38" t="s">
        <v>39</v>
      </c>
      <c r="B35" s="26" t="s">
        <v>33</v>
      </c>
      <c r="C35" s="26" t="s">
        <v>37</v>
      </c>
      <c r="D35" s="26" t="s">
        <v>21</v>
      </c>
      <c r="E35" s="27">
        <v>0</v>
      </c>
      <c r="F35" s="31"/>
      <c r="G35" s="29">
        <f>SUM(G36:G37)</f>
        <v>0</v>
      </c>
      <c r="H35" s="30">
        <f>SUM(H36:H37)</f>
        <v>25856.9</v>
      </c>
      <c r="I35" s="30">
        <f>SUM(I36:I37)</f>
        <v>19453.56638</v>
      </c>
      <c r="J35" s="30">
        <f t="shared" si="1"/>
        <v>75.2354937366815</v>
      </c>
    </row>
    <row r="36" spans="1:10" ht="80.25" customHeight="1" outlineLevel="2">
      <c r="A36" s="38" t="s">
        <v>23</v>
      </c>
      <c r="B36" s="26" t="s">
        <v>33</v>
      </c>
      <c r="C36" s="26" t="s">
        <v>37</v>
      </c>
      <c r="D36" s="26" t="s">
        <v>21</v>
      </c>
      <c r="E36" s="27">
        <v>0</v>
      </c>
      <c r="F36" s="31">
        <v>100</v>
      </c>
      <c r="G36" s="29"/>
      <c r="H36" s="30">
        <f>24310+418-412</f>
        <v>24316</v>
      </c>
      <c r="I36" s="30">
        <v>18865.31638</v>
      </c>
      <c r="J36" s="30">
        <f t="shared" si="1"/>
        <v>77.58396274058234</v>
      </c>
    </row>
    <row r="37" spans="1:10" ht="31.5">
      <c r="A37" s="38" t="s">
        <v>24</v>
      </c>
      <c r="B37" s="26" t="s">
        <v>33</v>
      </c>
      <c r="C37" s="26" t="s">
        <v>37</v>
      </c>
      <c r="D37" s="26" t="s">
        <v>21</v>
      </c>
      <c r="E37" s="27">
        <v>0</v>
      </c>
      <c r="F37" s="31">
        <v>200</v>
      </c>
      <c r="G37" s="29"/>
      <c r="H37" s="30">
        <v>1540.9</v>
      </c>
      <c r="I37" s="30">
        <v>588.25</v>
      </c>
      <c r="J37" s="30">
        <f t="shared" si="1"/>
        <v>38.17574144980206</v>
      </c>
    </row>
    <row r="38" spans="1:10" ht="50.25" customHeight="1" outlineLevel="2">
      <c r="A38" s="25" t="s">
        <v>20</v>
      </c>
      <c r="B38" s="26" t="s">
        <v>33</v>
      </c>
      <c r="C38" s="26" t="s">
        <v>37</v>
      </c>
      <c r="D38" s="26" t="s">
        <v>21</v>
      </c>
      <c r="E38" s="27" t="s">
        <v>22</v>
      </c>
      <c r="F38" s="28"/>
      <c r="G38" s="39">
        <f>SUM(G39+G42+G45+G48)</f>
        <v>0</v>
      </c>
      <c r="H38" s="40">
        <f>SUM(H39+H42+H45+H48)</f>
        <v>1470.6999999999998</v>
      </c>
      <c r="I38" s="40">
        <f>SUM(I39+I42+I45+I48)</f>
        <v>1031.84214</v>
      </c>
      <c r="J38" s="30">
        <f t="shared" si="1"/>
        <v>70.15993336506426</v>
      </c>
    </row>
    <row r="39" spans="1:10" ht="48.75" customHeight="1" outlineLevel="1">
      <c r="A39" s="25" t="s">
        <v>40</v>
      </c>
      <c r="B39" s="26" t="s">
        <v>33</v>
      </c>
      <c r="C39" s="26" t="s">
        <v>37</v>
      </c>
      <c r="D39" s="26" t="s">
        <v>21</v>
      </c>
      <c r="E39" s="27" t="s">
        <v>22</v>
      </c>
      <c r="F39" s="28"/>
      <c r="G39" s="29">
        <f>SUM(G40:G41)</f>
        <v>0</v>
      </c>
      <c r="H39" s="30">
        <f>SUM(H40:H41)</f>
        <v>298.1</v>
      </c>
      <c r="I39" s="30">
        <f>SUM(I40:I41)</f>
        <v>203.37712</v>
      </c>
      <c r="J39" s="30">
        <f t="shared" si="1"/>
        <v>68.22446159007043</v>
      </c>
    </row>
    <row r="40" spans="1:10" ht="81.75" customHeight="1" outlineLevel="5">
      <c r="A40" s="25" t="s">
        <v>23</v>
      </c>
      <c r="B40" s="26" t="s">
        <v>33</v>
      </c>
      <c r="C40" s="26" t="s">
        <v>37</v>
      </c>
      <c r="D40" s="26" t="s">
        <v>21</v>
      </c>
      <c r="E40" s="27" t="s">
        <v>22</v>
      </c>
      <c r="F40" s="31">
        <v>100</v>
      </c>
      <c r="G40" s="39"/>
      <c r="H40" s="40">
        <f>216.3+63.2</f>
        <v>279.5</v>
      </c>
      <c r="I40" s="40">
        <v>203.37712</v>
      </c>
      <c r="J40" s="30">
        <f t="shared" si="1"/>
        <v>72.76462254025044</v>
      </c>
    </row>
    <row r="41" spans="1:10" ht="31.5" outlineLevel="5">
      <c r="A41" s="25" t="s">
        <v>24</v>
      </c>
      <c r="B41" s="26" t="s">
        <v>33</v>
      </c>
      <c r="C41" s="26" t="s">
        <v>37</v>
      </c>
      <c r="D41" s="26" t="s">
        <v>21</v>
      </c>
      <c r="E41" s="27" t="s">
        <v>22</v>
      </c>
      <c r="F41" s="31">
        <v>200</v>
      </c>
      <c r="G41" s="39"/>
      <c r="H41" s="40">
        <f>81.8-63.2</f>
        <v>18.599999999999994</v>
      </c>
      <c r="I41" s="40">
        <v>0</v>
      </c>
      <c r="J41" s="30">
        <f t="shared" si="1"/>
        <v>0</v>
      </c>
    </row>
    <row r="42" spans="1:10" ht="33" customHeight="1" outlineLevel="5">
      <c r="A42" s="25" t="s">
        <v>41</v>
      </c>
      <c r="B42" s="26" t="s">
        <v>33</v>
      </c>
      <c r="C42" s="26" t="s">
        <v>37</v>
      </c>
      <c r="D42" s="26" t="s">
        <v>21</v>
      </c>
      <c r="E42" s="27" t="s">
        <v>22</v>
      </c>
      <c r="F42" s="28"/>
      <c r="G42" s="29">
        <f>SUM(G43:G44)</f>
        <v>0</v>
      </c>
      <c r="H42" s="30">
        <f>SUM(H43:H44)</f>
        <v>511</v>
      </c>
      <c r="I42" s="30">
        <f>SUM(I43:I44)</f>
        <v>428.63035</v>
      </c>
      <c r="J42" s="30">
        <f t="shared" si="1"/>
        <v>83.88069471624266</v>
      </c>
    </row>
    <row r="43" spans="1:10" ht="76.5" customHeight="1" outlineLevel="2">
      <c r="A43" s="25" t="s">
        <v>23</v>
      </c>
      <c r="B43" s="26" t="s">
        <v>33</v>
      </c>
      <c r="C43" s="26" t="s">
        <v>37</v>
      </c>
      <c r="D43" s="26" t="s">
        <v>21</v>
      </c>
      <c r="E43" s="27" t="s">
        <v>22</v>
      </c>
      <c r="F43" s="31">
        <v>100</v>
      </c>
      <c r="G43" s="29"/>
      <c r="H43" s="30">
        <v>461</v>
      </c>
      <c r="I43" s="30">
        <v>397.36007</v>
      </c>
      <c r="J43" s="30">
        <f t="shared" si="1"/>
        <v>86.19524295010847</v>
      </c>
    </row>
    <row r="44" spans="1:10" ht="31.5" outlineLevel="4">
      <c r="A44" s="25" t="s">
        <v>24</v>
      </c>
      <c r="B44" s="26" t="s">
        <v>33</v>
      </c>
      <c r="C44" s="26" t="s">
        <v>37</v>
      </c>
      <c r="D44" s="26" t="s">
        <v>21</v>
      </c>
      <c r="E44" s="27" t="s">
        <v>22</v>
      </c>
      <c r="F44" s="31">
        <v>200</v>
      </c>
      <c r="G44" s="29"/>
      <c r="H44" s="30">
        <v>50</v>
      </c>
      <c r="I44" s="30">
        <v>31.27028</v>
      </c>
      <c r="J44" s="30">
        <f t="shared" si="1"/>
        <v>62.54056</v>
      </c>
    </row>
    <row r="45" spans="1:10" s="41" customFormat="1" ht="63" customHeight="1" outlineLevel="5">
      <c r="A45" s="25" t="s">
        <v>42</v>
      </c>
      <c r="B45" s="26" t="s">
        <v>33</v>
      </c>
      <c r="C45" s="26" t="s">
        <v>37</v>
      </c>
      <c r="D45" s="26" t="s">
        <v>21</v>
      </c>
      <c r="E45" s="27" t="s">
        <v>22</v>
      </c>
      <c r="F45" s="28"/>
      <c r="G45" s="29">
        <f>SUM(G46:G47)</f>
        <v>0</v>
      </c>
      <c r="H45" s="30">
        <f>SUM(H46:H47)</f>
        <v>237</v>
      </c>
      <c r="I45" s="30">
        <f>SUM(I46:I47)</f>
        <v>210.79999999999998</v>
      </c>
      <c r="J45" s="30">
        <f t="shared" si="1"/>
        <v>88.94514767932489</v>
      </c>
    </row>
    <row r="46" spans="1:10" ht="78.75" customHeight="1" outlineLevel="5">
      <c r="A46" s="25" t="s">
        <v>23</v>
      </c>
      <c r="B46" s="26" t="s">
        <v>33</v>
      </c>
      <c r="C46" s="26" t="s">
        <v>37</v>
      </c>
      <c r="D46" s="26" t="s">
        <v>21</v>
      </c>
      <c r="E46" s="27" t="s">
        <v>22</v>
      </c>
      <c r="F46" s="31">
        <v>100</v>
      </c>
      <c r="G46" s="39"/>
      <c r="H46" s="40">
        <v>220</v>
      </c>
      <c r="I46" s="40">
        <v>195.6</v>
      </c>
      <c r="J46" s="30">
        <f t="shared" si="1"/>
        <v>88.9090909090909</v>
      </c>
    </row>
    <row r="47" spans="1:10" ht="31.5" outlineLevel="4">
      <c r="A47" s="25" t="s">
        <v>24</v>
      </c>
      <c r="B47" s="26" t="s">
        <v>33</v>
      </c>
      <c r="C47" s="26" t="s">
        <v>37</v>
      </c>
      <c r="D47" s="26" t="s">
        <v>21</v>
      </c>
      <c r="E47" s="27" t="s">
        <v>22</v>
      </c>
      <c r="F47" s="31">
        <v>200</v>
      </c>
      <c r="G47" s="39"/>
      <c r="H47" s="40">
        <v>17</v>
      </c>
      <c r="I47" s="40">
        <v>15.2</v>
      </c>
      <c r="J47" s="30">
        <f t="shared" si="1"/>
        <v>89.41176470588235</v>
      </c>
    </row>
    <row r="48" spans="1:10" ht="64.5" customHeight="1" outlineLevel="5">
      <c r="A48" s="25" t="s">
        <v>43</v>
      </c>
      <c r="B48" s="26" t="s">
        <v>33</v>
      </c>
      <c r="C48" s="26" t="s">
        <v>37</v>
      </c>
      <c r="D48" s="26" t="s">
        <v>21</v>
      </c>
      <c r="E48" s="27" t="s">
        <v>22</v>
      </c>
      <c r="F48" s="28"/>
      <c r="G48" s="29">
        <f>SUM(G49:G50)</f>
        <v>0</v>
      </c>
      <c r="H48" s="30">
        <f>SUM(H49:H50)</f>
        <v>424.6</v>
      </c>
      <c r="I48" s="30">
        <f>SUM(I49:I50)</f>
        <v>189.03467</v>
      </c>
      <c r="J48" s="30">
        <f t="shared" si="1"/>
        <v>44.52064766839378</v>
      </c>
    </row>
    <row r="49" spans="1:10" ht="81.75" customHeight="1" outlineLevel="5">
      <c r="A49" s="25" t="s">
        <v>23</v>
      </c>
      <c r="B49" s="26" t="s">
        <v>33</v>
      </c>
      <c r="C49" s="26" t="s">
        <v>37</v>
      </c>
      <c r="D49" s="26" t="s">
        <v>21</v>
      </c>
      <c r="E49" s="27" t="s">
        <v>22</v>
      </c>
      <c r="F49" s="31">
        <v>100</v>
      </c>
      <c r="G49" s="29"/>
      <c r="H49" s="30">
        <f>325.2-325.2</f>
        <v>0</v>
      </c>
      <c r="I49" s="30">
        <v>0</v>
      </c>
      <c r="J49" s="30">
        <v>0</v>
      </c>
    </row>
    <row r="50" spans="1:10" ht="31.5" outlineLevel="5">
      <c r="A50" s="25" t="s">
        <v>24</v>
      </c>
      <c r="B50" s="26" t="s">
        <v>33</v>
      </c>
      <c r="C50" s="26" t="s">
        <v>37</v>
      </c>
      <c r="D50" s="26" t="s">
        <v>21</v>
      </c>
      <c r="E50" s="27" t="s">
        <v>22</v>
      </c>
      <c r="F50" s="31">
        <v>200</v>
      </c>
      <c r="G50" s="29"/>
      <c r="H50" s="30">
        <f>99.4+325.2</f>
        <v>424.6</v>
      </c>
      <c r="I50" s="30">
        <v>189.03467</v>
      </c>
      <c r="J50" s="30">
        <f t="shared" si="1"/>
        <v>44.52064766839378</v>
      </c>
    </row>
    <row r="51" spans="1:10" ht="63" outlineLevel="2">
      <c r="A51" s="25" t="s">
        <v>44</v>
      </c>
      <c r="B51" s="26" t="s">
        <v>33</v>
      </c>
      <c r="C51" s="26" t="s">
        <v>37</v>
      </c>
      <c r="D51" s="26" t="s">
        <v>45</v>
      </c>
      <c r="E51" s="27">
        <v>0</v>
      </c>
      <c r="F51" s="31"/>
      <c r="G51" s="29">
        <f>SUM(G52)</f>
        <v>0</v>
      </c>
      <c r="H51" s="30">
        <f>SUM(H52)</f>
        <v>50</v>
      </c>
      <c r="I51" s="30">
        <f>SUM(I52)</f>
        <v>26.3</v>
      </c>
      <c r="J51" s="30">
        <f t="shared" si="1"/>
        <v>52.6</v>
      </c>
    </row>
    <row r="52" spans="1:10" ht="31.5" outlineLevel="2">
      <c r="A52" s="25" t="s">
        <v>24</v>
      </c>
      <c r="B52" s="26" t="s">
        <v>33</v>
      </c>
      <c r="C52" s="26" t="s">
        <v>37</v>
      </c>
      <c r="D52" s="26" t="s">
        <v>45</v>
      </c>
      <c r="E52" s="27">
        <v>0</v>
      </c>
      <c r="F52" s="31">
        <v>200</v>
      </c>
      <c r="G52" s="29"/>
      <c r="H52" s="30">
        <v>50</v>
      </c>
      <c r="I52" s="30">
        <v>26.3</v>
      </c>
      <c r="J52" s="30">
        <f t="shared" si="1"/>
        <v>52.6</v>
      </c>
    </row>
    <row r="53" spans="1:10" ht="15.75" outlineLevel="2">
      <c r="A53" s="25" t="s">
        <v>46</v>
      </c>
      <c r="B53" s="26" t="s">
        <v>33</v>
      </c>
      <c r="C53" s="26" t="s">
        <v>47</v>
      </c>
      <c r="D53" s="26"/>
      <c r="E53" s="27"/>
      <c r="F53" s="31"/>
      <c r="G53" s="29">
        <f aca="true" t="shared" si="3" ref="G53:I55">SUM(G54)</f>
        <v>0</v>
      </c>
      <c r="H53" s="30">
        <f t="shared" si="3"/>
        <v>22.383000000000003</v>
      </c>
      <c r="I53" s="30">
        <f t="shared" si="3"/>
        <v>0</v>
      </c>
      <c r="J53" s="30">
        <f t="shared" si="1"/>
        <v>0</v>
      </c>
    </row>
    <row r="54" spans="1:10" ht="48.75" customHeight="1" outlineLevel="2">
      <c r="A54" s="25" t="s">
        <v>48</v>
      </c>
      <c r="B54" s="26" t="s">
        <v>33</v>
      </c>
      <c r="C54" s="26" t="s">
        <v>47</v>
      </c>
      <c r="D54" s="26" t="s">
        <v>26</v>
      </c>
      <c r="E54" s="27">
        <v>0</v>
      </c>
      <c r="F54" s="31"/>
      <c r="G54" s="29">
        <f t="shared" si="3"/>
        <v>0</v>
      </c>
      <c r="H54" s="30">
        <f t="shared" si="3"/>
        <v>22.383000000000003</v>
      </c>
      <c r="I54" s="30">
        <f t="shared" si="3"/>
        <v>0</v>
      </c>
      <c r="J54" s="30">
        <f t="shared" si="1"/>
        <v>0</v>
      </c>
    </row>
    <row r="55" spans="1:10" ht="47.25" outlineLevel="2">
      <c r="A55" s="25" t="s">
        <v>25</v>
      </c>
      <c r="B55" s="26" t="s">
        <v>33</v>
      </c>
      <c r="C55" s="26" t="s">
        <v>47</v>
      </c>
      <c r="D55" s="26" t="s">
        <v>26</v>
      </c>
      <c r="E55" s="27">
        <v>0</v>
      </c>
      <c r="F55" s="31"/>
      <c r="G55" s="29">
        <f t="shared" si="3"/>
        <v>0</v>
      </c>
      <c r="H55" s="30">
        <f t="shared" si="3"/>
        <v>22.383000000000003</v>
      </c>
      <c r="I55" s="30">
        <f t="shared" si="3"/>
        <v>0</v>
      </c>
      <c r="J55" s="30">
        <f t="shared" si="1"/>
        <v>0</v>
      </c>
    </row>
    <row r="56" spans="1:10" ht="31.5" outlineLevel="2">
      <c r="A56" s="25" t="s">
        <v>24</v>
      </c>
      <c r="B56" s="26" t="s">
        <v>33</v>
      </c>
      <c r="C56" s="26" t="s">
        <v>47</v>
      </c>
      <c r="D56" s="26" t="s">
        <v>26</v>
      </c>
      <c r="E56" s="27">
        <v>0</v>
      </c>
      <c r="F56" s="31">
        <v>200</v>
      </c>
      <c r="G56" s="29"/>
      <c r="H56" s="30">
        <f>20.1+2.283</f>
        <v>22.383000000000003</v>
      </c>
      <c r="I56" s="30">
        <v>0</v>
      </c>
      <c r="J56" s="30">
        <f t="shared" si="1"/>
        <v>0</v>
      </c>
    </row>
    <row r="57" spans="1:10" ht="31.5" outlineLevel="2">
      <c r="A57" s="25" t="s">
        <v>49</v>
      </c>
      <c r="B57" s="26" t="s">
        <v>33</v>
      </c>
      <c r="C57" s="26" t="s">
        <v>50</v>
      </c>
      <c r="D57" s="26"/>
      <c r="E57" s="27"/>
      <c r="F57" s="31"/>
      <c r="G57" s="29">
        <f aca="true" t="shared" si="4" ref="G57:I62">SUM(G58)</f>
        <v>0</v>
      </c>
      <c r="H57" s="30">
        <f t="shared" si="4"/>
        <v>0</v>
      </c>
      <c r="I57" s="30">
        <f t="shared" si="4"/>
        <v>0</v>
      </c>
      <c r="J57" s="30">
        <v>0</v>
      </c>
    </row>
    <row r="58" spans="1:10" ht="15.75" outlineLevel="5">
      <c r="A58" s="25" t="s">
        <v>51</v>
      </c>
      <c r="B58" s="26" t="s">
        <v>33</v>
      </c>
      <c r="C58" s="26" t="s">
        <v>50</v>
      </c>
      <c r="D58" s="26" t="s">
        <v>26</v>
      </c>
      <c r="E58" s="27" t="s">
        <v>22</v>
      </c>
      <c r="F58" s="31"/>
      <c r="G58" s="29">
        <f t="shared" si="4"/>
        <v>0</v>
      </c>
      <c r="H58" s="30">
        <f t="shared" si="4"/>
        <v>0</v>
      </c>
      <c r="I58" s="30">
        <f t="shared" si="4"/>
        <v>0</v>
      </c>
      <c r="J58" s="30">
        <v>0</v>
      </c>
    </row>
    <row r="59" spans="1:10" ht="47.25" outlineLevel="2">
      <c r="A59" s="25" t="s">
        <v>25</v>
      </c>
      <c r="B59" s="26" t="s">
        <v>33</v>
      </c>
      <c r="C59" s="26" t="s">
        <v>50</v>
      </c>
      <c r="D59" s="26" t="s">
        <v>26</v>
      </c>
      <c r="E59" s="27" t="s">
        <v>22</v>
      </c>
      <c r="F59" s="31"/>
      <c r="G59" s="29">
        <f t="shared" si="4"/>
        <v>0</v>
      </c>
      <c r="H59" s="30">
        <f t="shared" si="4"/>
        <v>0</v>
      </c>
      <c r="I59" s="30">
        <f t="shared" si="4"/>
        <v>0</v>
      </c>
      <c r="J59" s="30">
        <v>0</v>
      </c>
    </row>
    <row r="60" spans="1:10" ht="31.5" outlineLevel="5">
      <c r="A60" s="25" t="s">
        <v>24</v>
      </c>
      <c r="B60" s="26" t="s">
        <v>33</v>
      </c>
      <c r="C60" s="26" t="s">
        <v>50</v>
      </c>
      <c r="D60" s="26" t="s">
        <v>26</v>
      </c>
      <c r="E60" s="27">
        <v>0</v>
      </c>
      <c r="F60" s="31">
        <v>200</v>
      </c>
      <c r="G60" s="29"/>
      <c r="H60" s="30">
        <v>0</v>
      </c>
      <c r="I60" s="30">
        <v>0</v>
      </c>
      <c r="J60" s="30">
        <v>0</v>
      </c>
    </row>
    <row r="61" spans="1:10" ht="15.75" outlineLevel="1">
      <c r="A61" s="25" t="s">
        <v>52</v>
      </c>
      <c r="B61" s="26" t="s">
        <v>33</v>
      </c>
      <c r="C61" s="26" t="s">
        <v>53</v>
      </c>
      <c r="D61" s="26"/>
      <c r="E61" s="27"/>
      <c r="F61" s="31"/>
      <c r="G61" s="29">
        <f t="shared" si="4"/>
        <v>0</v>
      </c>
      <c r="H61" s="30">
        <f t="shared" si="4"/>
        <v>320</v>
      </c>
      <c r="I61" s="30">
        <f t="shared" si="4"/>
        <v>0</v>
      </c>
      <c r="J61" s="30">
        <f t="shared" si="1"/>
        <v>0</v>
      </c>
    </row>
    <row r="62" spans="1:10" ht="47.25" outlineLevel="2">
      <c r="A62" s="25" t="s">
        <v>25</v>
      </c>
      <c r="B62" s="26" t="s">
        <v>33</v>
      </c>
      <c r="C62" s="26" t="s">
        <v>53</v>
      </c>
      <c r="D62" s="26" t="s">
        <v>26</v>
      </c>
      <c r="E62" s="27" t="s">
        <v>22</v>
      </c>
      <c r="F62" s="31"/>
      <c r="G62" s="29">
        <f t="shared" si="4"/>
        <v>0</v>
      </c>
      <c r="H62" s="30">
        <f t="shared" si="4"/>
        <v>320</v>
      </c>
      <c r="I62" s="30">
        <f t="shared" si="4"/>
        <v>0</v>
      </c>
      <c r="J62" s="30">
        <f t="shared" si="1"/>
        <v>0</v>
      </c>
    </row>
    <row r="63" spans="1:10" ht="15.75" outlineLevel="2">
      <c r="A63" s="25" t="s">
        <v>27</v>
      </c>
      <c r="B63" s="26" t="s">
        <v>33</v>
      </c>
      <c r="C63" s="26" t="s">
        <v>53</v>
      </c>
      <c r="D63" s="26" t="s">
        <v>26</v>
      </c>
      <c r="E63" s="27" t="s">
        <v>22</v>
      </c>
      <c r="F63" s="31">
        <v>800</v>
      </c>
      <c r="G63" s="29"/>
      <c r="H63" s="30">
        <v>320</v>
      </c>
      <c r="I63" s="30">
        <v>0</v>
      </c>
      <c r="J63" s="30">
        <f t="shared" si="1"/>
        <v>0</v>
      </c>
    </row>
    <row r="64" spans="1:10" ht="15.75" outlineLevel="2">
      <c r="A64" s="25" t="s">
        <v>54</v>
      </c>
      <c r="B64" s="26" t="s">
        <v>33</v>
      </c>
      <c r="C64" s="26" t="s">
        <v>55</v>
      </c>
      <c r="D64" s="26"/>
      <c r="E64" s="27"/>
      <c r="F64" s="31"/>
      <c r="G64" s="29">
        <f>SUM(G65+G68+G74+G76+G80+G82+G84+G88+G91+G98+G78+G72+G95)</f>
        <v>-200</v>
      </c>
      <c r="H64" s="30">
        <f>SUM(H65+H68+H74+H76+H80+H82+H84+H88+H91+H98+H78+H72+H95)</f>
        <v>38831.22084</v>
      </c>
      <c r="I64" s="30">
        <f>SUM(I65+I68+I74+I76+I80+I82+I84+I88+I91+I98+I78+I72+I95)</f>
        <v>35345.44842</v>
      </c>
      <c r="J64" s="30">
        <f t="shared" si="1"/>
        <v>91.0232736839185</v>
      </c>
    </row>
    <row r="65" spans="1:10" ht="62.25" customHeight="1" outlineLevel="2">
      <c r="A65" s="25" t="s">
        <v>56</v>
      </c>
      <c r="B65" s="26" t="s">
        <v>33</v>
      </c>
      <c r="C65" s="26" t="s">
        <v>55</v>
      </c>
      <c r="D65" s="26" t="s">
        <v>57</v>
      </c>
      <c r="E65" s="27">
        <v>0</v>
      </c>
      <c r="F65" s="31"/>
      <c r="G65" s="29">
        <f aca="true" t="shared" si="5" ref="G65:I66">SUM(G66)</f>
        <v>0</v>
      </c>
      <c r="H65" s="30">
        <f t="shared" si="5"/>
        <v>300</v>
      </c>
      <c r="I65" s="30">
        <f t="shared" si="5"/>
        <v>71.87</v>
      </c>
      <c r="J65" s="30">
        <f t="shared" si="1"/>
        <v>23.956666666666667</v>
      </c>
    </row>
    <row r="66" spans="1:10" ht="47.25" outlineLevel="2">
      <c r="A66" s="25" t="s">
        <v>58</v>
      </c>
      <c r="B66" s="26" t="s">
        <v>33</v>
      </c>
      <c r="C66" s="26" t="s">
        <v>55</v>
      </c>
      <c r="D66" s="26" t="s">
        <v>57</v>
      </c>
      <c r="E66" s="27">
        <v>4</v>
      </c>
      <c r="F66" s="31"/>
      <c r="G66" s="29">
        <f t="shared" si="5"/>
        <v>0</v>
      </c>
      <c r="H66" s="30">
        <f t="shared" si="5"/>
        <v>300</v>
      </c>
      <c r="I66" s="30">
        <f t="shared" si="5"/>
        <v>71.87</v>
      </c>
      <c r="J66" s="30">
        <f t="shared" si="1"/>
        <v>23.956666666666667</v>
      </c>
    </row>
    <row r="67" spans="1:10" ht="37.5" customHeight="1" outlineLevel="2">
      <c r="A67" s="25" t="s">
        <v>59</v>
      </c>
      <c r="B67" s="26" t="s">
        <v>33</v>
      </c>
      <c r="C67" s="26" t="s">
        <v>55</v>
      </c>
      <c r="D67" s="26" t="s">
        <v>57</v>
      </c>
      <c r="E67" s="27">
        <v>4</v>
      </c>
      <c r="F67" s="31">
        <v>600</v>
      </c>
      <c r="G67" s="29"/>
      <c r="H67" s="30">
        <v>300</v>
      </c>
      <c r="I67" s="30">
        <v>71.87</v>
      </c>
      <c r="J67" s="30">
        <f t="shared" si="1"/>
        <v>23.956666666666667</v>
      </c>
    </row>
    <row r="68" spans="1:10" ht="65.25" customHeight="1" outlineLevel="2">
      <c r="A68" s="25" t="s">
        <v>60</v>
      </c>
      <c r="B68" s="26" t="s">
        <v>33</v>
      </c>
      <c r="C68" s="26" t="s">
        <v>55</v>
      </c>
      <c r="D68" s="26" t="s">
        <v>61</v>
      </c>
      <c r="E68" s="27">
        <v>0</v>
      </c>
      <c r="F68" s="31"/>
      <c r="G68" s="29">
        <f>SUM(G69:G71)</f>
        <v>0</v>
      </c>
      <c r="H68" s="30">
        <f>SUM(H69:H71)</f>
        <v>3507.3</v>
      </c>
      <c r="I68" s="30">
        <f>SUM(I69:I71)</f>
        <v>3507.3</v>
      </c>
      <c r="J68" s="30">
        <f t="shared" si="1"/>
        <v>100</v>
      </c>
    </row>
    <row r="69" spans="1:10" ht="31.5" outlineLevel="2">
      <c r="A69" s="25" t="s">
        <v>24</v>
      </c>
      <c r="B69" s="26" t="s">
        <v>33</v>
      </c>
      <c r="C69" s="26" t="s">
        <v>55</v>
      </c>
      <c r="D69" s="26" t="s">
        <v>61</v>
      </c>
      <c r="E69" s="27">
        <v>0</v>
      </c>
      <c r="F69" s="31">
        <v>200</v>
      </c>
      <c r="G69" s="29"/>
      <c r="H69" s="30">
        <v>0</v>
      </c>
      <c r="I69" s="30">
        <v>0</v>
      </c>
      <c r="J69" s="30">
        <v>0</v>
      </c>
    </row>
    <row r="70" spans="1:10" ht="29.25" customHeight="1" outlineLevel="2">
      <c r="A70" s="25" t="s">
        <v>59</v>
      </c>
      <c r="B70" s="26" t="s">
        <v>33</v>
      </c>
      <c r="C70" s="26" t="s">
        <v>55</v>
      </c>
      <c r="D70" s="26" t="s">
        <v>61</v>
      </c>
      <c r="E70" s="27">
        <v>0</v>
      </c>
      <c r="F70" s="31">
        <v>600</v>
      </c>
      <c r="G70" s="29"/>
      <c r="H70" s="30">
        <v>20</v>
      </c>
      <c r="I70" s="30">
        <v>20</v>
      </c>
      <c r="J70" s="30">
        <f t="shared" si="1"/>
        <v>100</v>
      </c>
    </row>
    <row r="71" spans="1:10" ht="32.25" customHeight="1" outlineLevel="2">
      <c r="A71" s="25" t="s">
        <v>62</v>
      </c>
      <c r="B71" s="26" t="s">
        <v>33</v>
      </c>
      <c r="C71" s="26" t="s">
        <v>55</v>
      </c>
      <c r="D71" s="26" t="s">
        <v>61</v>
      </c>
      <c r="E71" s="27">
        <v>0</v>
      </c>
      <c r="F71" s="31">
        <v>600</v>
      </c>
      <c r="G71" s="29"/>
      <c r="H71" s="30">
        <v>3487.3</v>
      </c>
      <c r="I71" s="30">
        <v>3487.3</v>
      </c>
      <c r="J71" s="30">
        <f t="shared" si="1"/>
        <v>100</v>
      </c>
    </row>
    <row r="72" spans="1:10" ht="31.5" outlineLevel="2">
      <c r="A72" s="25" t="s">
        <v>63</v>
      </c>
      <c r="B72" s="26" t="s">
        <v>33</v>
      </c>
      <c r="C72" s="26" t="s">
        <v>55</v>
      </c>
      <c r="D72" s="26" t="s">
        <v>64</v>
      </c>
      <c r="E72" s="27">
        <v>0</v>
      </c>
      <c r="F72" s="31"/>
      <c r="G72" s="29">
        <f>SUM(G73)</f>
        <v>0</v>
      </c>
      <c r="H72" s="30">
        <f>SUM(H73)</f>
        <v>75</v>
      </c>
      <c r="I72" s="30">
        <f>SUM(I73)</f>
        <v>47.44</v>
      </c>
      <c r="J72" s="30">
        <f t="shared" si="1"/>
        <v>63.25333333333333</v>
      </c>
    </row>
    <row r="73" spans="1:10" ht="31.5" outlineLevel="2">
      <c r="A73" s="25" t="s">
        <v>24</v>
      </c>
      <c r="B73" s="26" t="s">
        <v>33</v>
      </c>
      <c r="C73" s="26" t="s">
        <v>55</v>
      </c>
      <c r="D73" s="26" t="s">
        <v>64</v>
      </c>
      <c r="E73" s="27">
        <v>0</v>
      </c>
      <c r="F73" s="31">
        <v>200</v>
      </c>
      <c r="G73" s="29"/>
      <c r="H73" s="30">
        <f>50+25</f>
        <v>75</v>
      </c>
      <c r="I73" s="30">
        <v>47.44</v>
      </c>
      <c r="J73" s="30">
        <f t="shared" si="1"/>
        <v>63.25333333333333</v>
      </c>
    </row>
    <row r="74" spans="1:10" ht="68.25" customHeight="1" outlineLevel="2">
      <c r="A74" s="25" t="s">
        <v>65</v>
      </c>
      <c r="B74" s="26" t="s">
        <v>33</v>
      </c>
      <c r="C74" s="26" t="s">
        <v>55</v>
      </c>
      <c r="D74" s="26" t="s">
        <v>66</v>
      </c>
      <c r="E74" s="27">
        <v>0</v>
      </c>
      <c r="F74" s="31"/>
      <c r="G74" s="29">
        <f>SUM(G75)</f>
        <v>0</v>
      </c>
      <c r="H74" s="30">
        <f>SUM(H75)</f>
        <v>100</v>
      </c>
      <c r="I74" s="30">
        <f>SUM(I75)</f>
        <v>0</v>
      </c>
      <c r="J74" s="30">
        <f t="shared" si="1"/>
        <v>0</v>
      </c>
    </row>
    <row r="75" spans="1:10" ht="31.5" outlineLevel="2">
      <c r="A75" s="25" t="s">
        <v>24</v>
      </c>
      <c r="B75" s="26" t="s">
        <v>33</v>
      </c>
      <c r="C75" s="26" t="s">
        <v>55</v>
      </c>
      <c r="D75" s="26" t="s">
        <v>66</v>
      </c>
      <c r="E75" s="27">
        <v>0</v>
      </c>
      <c r="F75" s="31">
        <v>200</v>
      </c>
      <c r="G75" s="29"/>
      <c r="H75" s="30">
        <v>100</v>
      </c>
      <c r="I75" s="30">
        <v>0</v>
      </c>
      <c r="J75" s="30">
        <f aca="true" t="shared" si="6" ref="J75:J133">SUM(I75/H75)*100</f>
        <v>0</v>
      </c>
    </row>
    <row r="76" spans="1:10" ht="47.25" outlineLevel="2">
      <c r="A76" s="25" t="s">
        <v>67</v>
      </c>
      <c r="B76" s="26" t="s">
        <v>33</v>
      </c>
      <c r="C76" s="26" t="s">
        <v>55</v>
      </c>
      <c r="D76" s="26" t="s">
        <v>68</v>
      </c>
      <c r="E76" s="27">
        <v>0</v>
      </c>
      <c r="F76" s="31"/>
      <c r="G76" s="29">
        <f>SUM(G77)</f>
        <v>0</v>
      </c>
      <c r="H76" s="30">
        <f>SUM(H77)</f>
        <v>20</v>
      </c>
      <c r="I76" s="30">
        <f>SUM(I77)</f>
        <v>0</v>
      </c>
      <c r="J76" s="30">
        <f t="shared" si="6"/>
        <v>0</v>
      </c>
    </row>
    <row r="77" spans="1:10" ht="31.5" outlineLevel="2">
      <c r="A77" s="25" t="s">
        <v>24</v>
      </c>
      <c r="B77" s="26" t="s">
        <v>33</v>
      </c>
      <c r="C77" s="26" t="s">
        <v>55</v>
      </c>
      <c r="D77" s="26" t="s">
        <v>68</v>
      </c>
      <c r="E77" s="27">
        <v>0</v>
      </c>
      <c r="F77" s="31">
        <v>200</v>
      </c>
      <c r="G77" s="29"/>
      <c r="H77" s="30">
        <v>20</v>
      </c>
      <c r="I77" s="30">
        <v>0</v>
      </c>
      <c r="J77" s="30">
        <f t="shared" si="6"/>
        <v>0</v>
      </c>
    </row>
    <row r="78" spans="1:10" ht="63" outlineLevel="2">
      <c r="A78" s="25" t="s">
        <v>69</v>
      </c>
      <c r="B78" s="26" t="s">
        <v>33</v>
      </c>
      <c r="C78" s="26" t="s">
        <v>55</v>
      </c>
      <c r="D78" s="26" t="s">
        <v>70</v>
      </c>
      <c r="E78" s="27">
        <v>0</v>
      </c>
      <c r="F78" s="31"/>
      <c r="G78" s="29">
        <f>SUM(G79)</f>
        <v>0</v>
      </c>
      <c r="H78" s="30">
        <f>SUM(H79)</f>
        <v>50</v>
      </c>
      <c r="I78" s="30">
        <f>SUM(I79)</f>
        <v>0</v>
      </c>
      <c r="J78" s="30">
        <f t="shared" si="6"/>
        <v>0</v>
      </c>
    </row>
    <row r="79" spans="1:10" ht="31.5" outlineLevel="2">
      <c r="A79" s="25" t="s">
        <v>24</v>
      </c>
      <c r="B79" s="26" t="s">
        <v>33</v>
      </c>
      <c r="C79" s="26" t="s">
        <v>55</v>
      </c>
      <c r="D79" s="26" t="s">
        <v>70</v>
      </c>
      <c r="E79" s="27">
        <v>0</v>
      </c>
      <c r="F79" s="31">
        <v>200</v>
      </c>
      <c r="G79" s="29"/>
      <c r="H79" s="30">
        <v>50</v>
      </c>
      <c r="I79" s="30">
        <v>0</v>
      </c>
      <c r="J79" s="30">
        <f t="shared" si="6"/>
        <v>0</v>
      </c>
    </row>
    <row r="80" spans="1:10" ht="129.75" customHeight="1" outlineLevel="2">
      <c r="A80" s="25" t="s">
        <v>71</v>
      </c>
      <c r="B80" s="26" t="s">
        <v>33</v>
      </c>
      <c r="C80" s="26" t="s">
        <v>55</v>
      </c>
      <c r="D80" s="26" t="s">
        <v>72</v>
      </c>
      <c r="E80" s="27">
        <v>0</v>
      </c>
      <c r="F80" s="31"/>
      <c r="G80" s="29">
        <f>SUM(G81)</f>
        <v>200</v>
      </c>
      <c r="H80" s="30">
        <f>SUM(H81)</f>
        <v>3300</v>
      </c>
      <c r="I80" s="30">
        <f>SUM(I81)</f>
        <v>3123.18947</v>
      </c>
      <c r="J80" s="30">
        <f t="shared" si="6"/>
        <v>94.64210515151514</v>
      </c>
    </row>
    <row r="81" spans="1:10" ht="30.75" customHeight="1" outlineLevel="2">
      <c r="A81" s="25" t="s">
        <v>59</v>
      </c>
      <c r="B81" s="26" t="s">
        <v>33</v>
      </c>
      <c r="C81" s="26" t="s">
        <v>55</v>
      </c>
      <c r="D81" s="26" t="s">
        <v>72</v>
      </c>
      <c r="E81" s="27">
        <v>0</v>
      </c>
      <c r="F81" s="31">
        <v>600</v>
      </c>
      <c r="G81" s="29">
        <f>200</f>
        <v>200</v>
      </c>
      <c r="H81" s="30">
        <f>3100+200</f>
        <v>3300</v>
      </c>
      <c r="I81" s="30">
        <v>3123.18947</v>
      </c>
      <c r="J81" s="30">
        <f t="shared" si="6"/>
        <v>94.64210515151514</v>
      </c>
    </row>
    <row r="82" spans="1:10" ht="96.75" customHeight="1" outlineLevel="2">
      <c r="A82" s="25" t="s">
        <v>73</v>
      </c>
      <c r="B82" s="26" t="s">
        <v>33</v>
      </c>
      <c r="C82" s="26" t="s">
        <v>55</v>
      </c>
      <c r="D82" s="26" t="s">
        <v>74</v>
      </c>
      <c r="E82" s="27">
        <v>0</v>
      </c>
      <c r="F82" s="31"/>
      <c r="G82" s="29">
        <f>SUM(G83)</f>
        <v>0</v>
      </c>
      <c r="H82" s="30">
        <f>SUM(H83)</f>
        <v>17096.9</v>
      </c>
      <c r="I82" s="30">
        <f>SUM(I83)</f>
        <v>15954.95495</v>
      </c>
      <c r="J82" s="30">
        <f t="shared" si="6"/>
        <v>93.3207479133644</v>
      </c>
    </row>
    <row r="83" spans="1:10" ht="35.25" customHeight="1" outlineLevel="2">
      <c r="A83" s="25" t="s">
        <v>59</v>
      </c>
      <c r="B83" s="26" t="s">
        <v>33</v>
      </c>
      <c r="C83" s="26" t="s">
        <v>55</v>
      </c>
      <c r="D83" s="26" t="s">
        <v>74</v>
      </c>
      <c r="E83" s="27">
        <v>0</v>
      </c>
      <c r="F83" s="31">
        <v>600</v>
      </c>
      <c r="G83" s="29"/>
      <c r="H83" s="30">
        <f>16000+1096.9</f>
        <v>17096.9</v>
      </c>
      <c r="I83" s="30">
        <v>15954.95495</v>
      </c>
      <c r="J83" s="30">
        <f t="shared" si="6"/>
        <v>93.3207479133644</v>
      </c>
    </row>
    <row r="84" spans="1:10" ht="31.5" outlineLevel="2">
      <c r="A84" s="25" t="s">
        <v>75</v>
      </c>
      <c r="B84" s="26" t="s">
        <v>33</v>
      </c>
      <c r="C84" s="26" t="s">
        <v>55</v>
      </c>
      <c r="D84" s="26"/>
      <c r="E84" s="27"/>
      <c r="F84" s="31"/>
      <c r="G84" s="29">
        <f>SUM(G85)</f>
        <v>0</v>
      </c>
      <c r="H84" s="30">
        <f>SUM(H85)</f>
        <v>1018.2</v>
      </c>
      <c r="I84" s="30">
        <f>SUM(I85)</f>
        <v>731.9759300000001</v>
      </c>
      <c r="J84" s="30">
        <f t="shared" si="6"/>
        <v>71.88920938911807</v>
      </c>
    </row>
    <row r="85" spans="1:10" ht="48" customHeight="1" outlineLevel="2">
      <c r="A85" s="25" t="s">
        <v>20</v>
      </c>
      <c r="B85" s="26" t="s">
        <v>33</v>
      </c>
      <c r="C85" s="26" t="s">
        <v>55</v>
      </c>
      <c r="D85" s="26" t="s">
        <v>21</v>
      </c>
      <c r="E85" s="27">
        <v>0</v>
      </c>
      <c r="F85" s="31"/>
      <c r="G85" s="29">
        <f>SUM(G86:G87)</f>
        <v>0</v>
      </c>
      <c r="H85" s="30">
        <f>SUM(H86:H87)</f>
        <v>1018.2</v>
      </c>
      <c r="I85" s="30">
        <f>SUM(I86:I87)</f>
        <v>731.9759300000001</v>
      </c>
      <c r="J85" s="30">
        <f t="shared" si="6"/>
        <v>71.88920938911807</v>
      </c>
    </row>
    <row r="86" spans="1:10" ht="75" customHeight="1" outlineLevel="2">
      <c r="A86" s="25" t="s">
        <v>23</v>
      </c>
      <c r="B86" s="26" t="s">
        <v>33</v>
      </c>
      <c r="C86" s="26" t="s">
        <v>55</v>
      </c>
      <c r="D86" s="26" t="s">
        <v>21</v>
      </c>
      <c r="E86" s="27" t="s">
        <v>22</v>
      </c>
      <c r="F86" s="31">
        <v>100</v>
      </c>
      <c r="G86" s="29"/>
      <c r="H86" s="30">
        <v>841.7</v>
      </c>
      <c r="I86" s="30">
        <v>593.33272</v>
      </c>
      <c r="J86" s="30">
        <f t="shared" si="6"/>
        <v>70.49218486396578</v>
      </c>
    </row>
    <row r="87" spans="1:10" ht="31.5" outlineLevel="2">
      <c r="A87" s="25" t="s">
        <v>24</v>
      </c>
      <c r="B87" s="26" t="s">
        <v>33</v>
      </c>
      <c r="C87" s="26" t="s">
        <v>55</v>
      </c>
      <c r="D87" s="26" t="s">
        <v>21</v>
      </c>
      <c r="E87" s="27" t="s">
        <v>22</v>
      </c>
      <c r="F87" s="31">
        <v>200</v>
      </c>
      <c r="G87" s="29"/>
      <c r="H87" s="30">
        <v>176.5</v>
      </c>
      <c r="I87" s="30">
        <v>138.64321</v>
      </c>
      <c r="J87" s="30">
        <f t="shared" si="6"/>
        <v>78.55139376770539</v>
      </c>
    </row>
    <row r="88" spans="1:10" ht="47.25" outlineLevel="2">
      <c r="A88" s="25" t="s">
        <v>76</v>
      </c>
      <c r="B88" s="26" t="s">
        <v>33</v>
      </c>
      <c r="C88" s="26" t="s">
        <v>55</v>
      </c>
      <c r="D88" s="26" t="s">
        <v>26</v>
      </c>
      <c r="E88" s="27">
        <v>0</v>
      </c>
      <c r="F88" s="31"/>
      <c r="G88" s="29">
        <f aca="true" t="shared" si="7" ref="G88:I89">SUM(G89)</f>
        <v>0</v>
      </c>
      <c r="H88" s="30">
        <f t="shared" si="7"/>
        <v>100</v>
      </c>
      <c r="I88" s="30">
        <f t="shared" si="7"/>
        <v>7.7</v>
      </c>
      <c r="J88" s="30">
        <f t="shared" si="6"/>
        <v>7.7</v>
      </c>
    </row>
    <row r="89" spans="1:10" ht="47.25" outlineLevel="2">
      <c r="A89" s="25" t="s">
        <v>25</v>
      </c>
      <c r="B89" s="26" t="s">
        <v>33</v>
      </c>
      <c r="C89" s="26" t="s">
        <v>55</v>
      </c>
      <c r="D89" s="26" t="s">
        <v>26</v>
      </c>
      <c r="E89" s="27" t="s">
        <v>22</v>
      </c>
      <c r="F89" s="31"/>
      <c r="G89" s="29">
        <f t="shared" si="7"/>
        <v>0</v>
      </c>
      <c r="H89" s="30">
        <f t="shared" si="7"/>
        <v>100</v>
      </c>
      <c r="I89" s="30">
        <f t="shared" si="7"/>
        <v>7.7</v>
      </c>
      <c r="J89" s="30">
        <f t="shared" si="6"/>
        <v>7.7</v>
      </c>
    </row>
    <row r="90" spans="1:10" ht="31.5" outlineLevel="5">
      <c r="A90" s="25" t="s">
        <v>24</v>
      </c>
      <c r="B90" s="26" t="s">
        <v>33</v>
      </c>
      <c r="C90" s="26" t="s">
        <v>55</v>
      </c>
      <c r="D90" s="26" t="s">
        <v>26</v>
      </c>
      <c r="E90" s="27" t="s">
        <v>22</v>
      </c>
      <c r="F90" s="31">
        <v>200</v>
      </c>
      <c r="G90" s="29"/>
      <c r="H90" s="30">
        <v>100</v>
      </c>
      <c r="I90" s="30">
        <v>7.7</v>
      </c>
      <c r="J90" s="30">
        <f t="shared" si="6"/>
        <v>7.7</v>
      </c>
    </row>
    <row r="91" spans="1:10" ht="31.5" outlineLevel="5">
      <c r="A91" s="25" t="s">
        <v>77</v>
      </c>
      <c r="B91" s="26" t="s">
        <v>33</v>
      </c>
      <c r="C91" s="26" t="s">
        <v>55</v>
      </c>
      <c r="D91" s="26" t="s">
        <v>26</v>
      </c>
      <c r="E91" s="27">
        <v>0</v>
      </c>
      <c r="F91" s="31"/>
      <c r="G91" s="29">
        <f>SUM(G92)</f>
        <v>-400</v>
      </c>
      <c r="H91" s="30">
        <f>SUM(H92)</f>
        <v>12609.720840000002</v>
      </c>
      <c r="I91" s="30">
        <f>SUM(I92)</f>
        <v>11436.57965</v>
      </c>
      <c r="J91" s="30">
        <f t="shared" si="6"/>
        <v>90.69653321524284</v>
      </c>
    </row>
    <row r="92" spans="1:10" ht="47.25" outlineLevel="5">
      <c r="A92" s="25" t="s">
        <v>25</v>
      </c>
      <c r="B92" s="26" t="s">
        <v>33</v>
      </c>
      <c r="C92" s="26" t="s">
        <v>55</v>
      </c>
      <c r="D92" s="26" t="s">
        <v>26</v>
      </c>
      <c r="E92" s="27" t="s">
        <v>22</v>
      </c>
      <c r="F92" s="31"/>
      <c r="G92" s="29">
        <f>SUM(G93:G94)</f>
        <v>-400</v>
      </c>
      <c r="H92" s="30">
        <f>SUM(H93:H94)</f>
        <v>12609.720840000002</v>
      </c>
      <c r="I92" s="30">
        <f>SUM(I93:I94)</f>
        <v>11436.57965</v>
      </c>
      <c r="J92" s="30">
        <f t="shared" si="6"/>
        <v>90.69653321524284</v>
      </c>
    </row>
    <row r="93" spans="1:10" ht="31.5" outlineLevel="5">
      <c r="A93" s="25" t="s">
        <v>24</v>
      </c>
      <c r="B93" s="26" t="s">
        <v>33</v>
      </c>
      <c r="C93" s="26" t="s">
        <v>55</v>
      </c>
      <c r="D93" s="26" t="s">
        <v>26</v>
      </c>
      <c r="E93" s="27">
        <v>0</v>
      </c>
      <c r="F93" s="31">
        <v>200</v>
      </c>
      <c r="G93" s="29"/>
      <c r="H93" s="30">
        <f>975+1000+925.19384+554.9-61.1-198.223-15.85-160+2.6-1000-165-312.5</f>
        <v>1545.0208400000001</v>
      </c>
      <c r="I93" s="30">
        <v>542.26925</v>
      </c>
      <c r="J93" s="30">
        <f t="shared" si="6"/>
        <v>35.09785990977313</v>
      </c>
    </row>
    <row r="94" spans="1:10" ht="15.75" outlineLevel="5">
      <c r="A94" s="25" t="s">
        <v>27</v>
      </c>
      <c r="B94" s="26" t="s">
        <v>33</v>
      </c>
      <c r="C94" s="26" t="s">
        <v>55</v>
      </c>
      <c r="D94" s="26" t="s">
        <v>26</v>
      </c>
      <c r="E94" s="27">
        <v>0</v>
      </c>
      <c r="F94" s="31">
        <v>800</v>
      </c>
      <c r="G94" s="29">
        <f>-200-200</f>
        <v>-400</v>
      </c>
      <c r="H94" s="30">
        <f>11345+119.7-400</f>
        <v>11064.7</v>
      </c>
      <c r="I94" s="30">
        <v>10894.3104</v>
      </c>
      <c r="J94" s="30">
        <f t="shared" si="6"/>
        <v>98.46006127594964</v>
      </c>
    </row>
    <row r="95" spans="1:10" ht="48" customHeight="1" outlineLevel="5">
      <c r="A95" s="25" t="s">
        <v>78</v>
      </c>
      <c r="B95" s="26" t="s">
        <v>33</v>
      </c>
      <c r="C95" s="26" t="s">
        <v>55</v>
      </c>
      <c r="D95" s="26" t="s">
        <v>26</v>
      </c>
      <c r="E95" s="27">
        <v>0</v>
      </c>
      <c r="F95" s="31"/>
      <c r="G95" s="29">
        <f>SUM(G96)</f>
        <v>0</v>
      </c>
      <c r="H95" s="30">
        <f>SUM(H96)</f>
        <v>654.1</v>
      </c>
      <c r="I95" s="30">
        <f>SUM(I96)</f>
        <v>464.43842</v>
      </c>
      <c r="J95" s="30">
        <f t="shared" si="6"/>
        <v>71.00419201956886</v>
      </c>
    </row>
    <row r="96" spans="1:10" ht="47.25" outlineLevel="5">
      <c r="A96" s="25" t="s">
        <v>25</v>
      </c>
      <c r="B96" s="26" t="s">
        <v>33</v>
      </c>
      <c r="C96" s="26" t="s">
        <v>55</v>
      </c>
      <c r="D96" s="26" t="s">
        <v>26</v>
      </c>
      <c r="E96" s="27" t="s">
        <v>22</v>
      </c>
      <c r="F96" s="31"/>
      <c r="G96" s="29">
        <f>SUM(G97:G97)</f>
        <v>0</v>
      </c>
      <c r="H96" s="30">
        <f>SUM(H97:H97)</f>
        <v>654.1</v>
      </c>
      <c r="I96" s="30">
        <f>SUM(I97:I97)</f>
        <v>464.43842</v>
      </c>
      <c r="J96" s="30">
        <f t="shared" si="6"/>
        <v>71.00419201956886</v>
      </c>
    </row>
    <row r="97" spans="1:10" ht="31.5" outlineLevel="5">
      <c r="A97" s="25" t="s">
        <v>24</v>
      </c>
      <c r="B97" s="26" t="s">
        <v>33</v>
      </c>
      <c r="C97" s="26" t="s">
        <v>55</v>
      </c>
      <c r="D97" s="26" t="s">
        <v>26</v>
      </c>
      <c r="E97" s="27">
        <v>0</v>
      </c>
      <c r="F97" s="31">
        <v>200</v>
      </c>
      <c r="G97" s="29"/>
      <c r="H97" s="30">
        <v>654.1</v>
      </c>
      <c r="I97" s="30">
        <v>464.43842</v>
      </c>
      <c r="J97" s="30">
        <f t="shared" si="6"/>
        <v>71.00419201956886</v>
      </c>
    </row>
    <row r="98" spans="1:10" ht="15.75" outlineLevel="5">
      <c r="A98" s="25" t="s">
        <v>79</v>
      </c>
      <c r="B98" s="26" t="s">
        <v>33</v>
      </c>
      <c r="C98" s="26" t="s">
        <v>55</v>
      </c>
      <c r="D98" s="26" t="s">
        <v>26</v>
      </c>
      <c r="E98" s="27">
        <v>0</v>
      </c>
      <c r="F98" s="31"/>
      <c r="G98" s="29"/>
      <c r="H98" s="30">
        <v>0</v>
      </c>
      <c r="I98" s="30">
        <v>0</v>
      </c>
      <c r="J98" s="30">
        <v>0</v>
      </c>
    </row>
    <row r="99" spans="1:10" ht="15.75" outlineLevel="1">
      <c r="A99" s="25" t="s">
        <v>80</v>
      </c>
      <c r="B99" s="26" t="s">
        <v>33</v>
      </c>
      <c r="C99" s="26" t="s">
        <v>81</v>
      </c>
      <c r="D99" s="26"/>
      <c r="E99" s="27"/>
      <c r="F99" s="31"/>
      <c r="G99" s="29"/>
      <c r="H99" s="30">
        <f aca="true" t="shared" si="8" ref="H99:I102">SUM(H100)</f>
        <v>20</v>
      </c>
      <c r="I99" s="30">
        <f t="shared" si="8"/>
        <v>0</v>
      </c>
      <c r="J99" s="30">
        <f t="shared" si="6"/>
        <v>0</v>
      </c>
    </row>
    <row r="100" spans="1:10" ht="15.75" outlineLevel="2">
      <c r="A100" s="25" t="s">
        <v>82</v>
      </c>
      <c r="B100" s="26" t="s">
        <v>33</v>
      </c>
      <c r="C100" s="26" t="s">
        <v>83</v>
      </c>
      <c r="D100" s="26"/>
      <c r="E100" s="27"/>
      <c r="F100" s="31"/>
      <c r="G100" s="29">
        <f>SUM(G101)</f>
        <v>0</v>
      </c>
      <c r="H100" s="30">
        <f t="shared" si="8"/>
        <v>20</v>
      </c>
      <c r="I100" s="30">
        <f t="shared" si="8"/>
        <v>0</v>
      </c>
      <c r="J100" s="30">
        <f t="shared" si="6"/>
        <v>0</v>
      </c>
    </row>
    <row r="101" spans="1:10" ht="31.5" outlineLevel="5">
      <c r="A101" s="25" t="s">
        <v>84</v>
      </c>
      <c r="B101" s="26" t="s">
        <v>33</v>
      </c>
      <c r="C101" s="26" t="s">
        <v>83</v>
      </c>
      <c r="D101" s="26"/>
      <c r="E101" s="27"/>
      <c r="F101" s="31"/>
      <c r="G101" s="29">
        <f>SUM(G102)</f>
        <v>0</v>
      </c>
      <c r="H101" s="30">
        <f t="shared" si="8"/>
        <v>20</v>
      </c>
      <c r="I101" s="30">
        <f t="shared" si="8"/>
        <v>0</v>
      </c>
      <c r="J101" s="30">
        <f t="shared" si="6"/>
        <v>0</v>
      </c>
    </row>
    <row r="102" spans="1:10" ht="47.25" outlineLevel="5">
      <c r="A102" s="25" t="s">
        <v>25</v>
      </c>
      <c r="B102" s="26" t="s">
        <v>33</v>
      </c>
      <c r="C102" s="26" t="s">
        <v>83</v>
      </c>
      <c r="D102" s="26" t="s">
        <v>26</v>
      </c>
      <c r="E102" s="27">
        <v>0</v>
      </c>
      <c r="F102" s="31"/>
      <c r="G102" s="29">
        <f>SUM(G103)</f>
        <v>0</v>
      </c>
      <c r="H102" s="30">
        <f t="shared" si="8"/>
        <v>20</v>
      </c>
      <c r="I102" s="30">
        <f t="shared" si="8"/>
        <v>0</v>
      </c>
      <c r="J102" s="30">
        <f t="shared" si="6"/>
        <v>0</v>
      </c>
    </row>
    <row r="103" spans="1:10" ht="31.5" outlineLevel="5">
      <c r="A103" s="25" t="s">
        <v>24</v>
      </c>
      <c r="B103" s="26" t="s">
        <v>33</v>
      </c>
      <c r="C103" s="26" t="s">
        <v>83</v>
      </c>
      <c r="D103" s="26" t="s">
        <v>26</v>
      </c>
      <c r="E103" s="27">
        <v>0</v>
      </c>
      <c r="F103" s="31">
        <v>200</v>
      </c>
      <c r="G103" s="29"/>
      <c r="H103" s="30">
        <v>20</v>
      </c>
      <c r="I103" s="30">
        <v>0</v>
      </c>
      <c r="J103" s="30">
        <f t="shared" si="6"/>
        <v>0</v>
      </c>
    </row>
    <row r="104" spans="1:10" ht="31.5" outlineLevel="5">
      <c r="A104" s="25" t="s">
        <v>85</v>
      </c>
      <c r="B104" s="26" t="s">
        <v>33</v>
      </c>
      <c r="C104" s="26" t="s">
        <v>86</v>
      </c>
      <c r="D104" s="26"/>
      <c r="E104" s="27"/>
      <c r="F104" s="31"/>
      <c r="G104" s="29">
        <f>SUM(G105+G108)</f>
        <v>0</v>
      </c>
      <c r="H104" s="30">
        <f>SUM(H105+H108)</f>
        <v>70</v>
      </c>
      <c r="I104" s="30">
        <f>SUM(I105+I108)</f>
        <v>0</v>
      </c>
      <c r="J104" s="30">
        <f t="shared" si="6"/>
        <v>0</v>
      </c>
    </row>
    <row r="105" spans="1:10" ht="47.25" customHeight="1" outlineLevel="1">
      <c r="A105" s="25" t="s">
        <v>87</v>
      </c>
      <c r="B105" s="26" t="s">
        <v>33</v>
      </c>
      <c r="C105" s="26" t="s">
        <v>88</v>
      </c>
      <c r="D105" s="26"/>
      <c r="E105" s="27"/>
      <c r="F105" s="31"/>
      <c r="G105" s="29">
        <f aca="true" t="shared" si="9" ref="G105:I106">SUM(G106)</f>
        <v>0</v>
      </c>
      <c r="H105" s="30">
        <f t="shared" si="9"/>
        <v>50</v>
      </c>
      <c r="I105" s="30">
        <f t="shared" si="9"/>
        <v>0</v>
      </c>
      <c r="J105" s="30">
        <f t="shared" si="6"/>
        <v>0</v>
      </c>
    </row>
    <row r="106" spans="1:10" ht="45" customHeight="1" outlineLevel="2">
      <c r="A106" s="25" t="s">
        <v>25</v>
      </c>
      <c r="B106" s="26" t="s">
        <v>33</v>
      </c>
      <c r="C106" s="26" t="s">
        <v>88</v>
      </c>
      <c r="D106" s="26" t="s">
        <v>26</v>
      </c>
      <c r="E106" s="27">
        <v>0</v>
      </c>
      <c r="F106" s="31"/>
      <c r="G106" s="29">
        <f t="shared" si="9"/>
        <v>0</v>
      </c>
      <c r="H106" s="30">
        <f t="shared" si="9"/>
        <v>50</v>
      </c>
      <c r="I106" s="30">
        <f t="shared" si="9"/>
        <v>0</v>
      </c>
      <c r="J106" s="30">
        <f t="shared" si="6"/>
        <v>0</v>
      </c>
    </row>
    <row r="107" spans="1:10" ht="31.5" outlineLevel="3">
      <c r="A107" s="25" t="s">
        <v>24</v>
      </c>
      <c r="B107" s="26" t="s">
        <v>33</v>
      </c>
      <c r="C107" s="26" t="s">
        <v>88</v>
      </c>
      <c r="D107" s="26" t="s">
        <v>26</v>
      </c>
      <c r="E107" s="27">
        <v>0</v>
      </c>
      <c r="F107" s="31">
        <v>200</v>
      </c>
      <c r="G107" s="29"/>
      <c r="H107" s="30">
        <v>50</v>
      </c>
      <c r="I107" s="30">
        <v>0</v>
      </c>
      <c r="J107" s="30">
        <f t="shared" si="6"/>
        <v>0</v>
      </c>
    </row>
    <row r="108" spans="1:10" ht="34.5" customHeight="1" outlineLevel="3">
      <c r="A108" s="25" t="s">
        <v>89</v>
      </c>
      <c r="B108" s="26" t="s">
        <v>33</v>
      </c>
      <c r="C108" s="26" t="s">
        <v>88</v>
      </c>
      <c r="D108" s="26"/>
      <c r="E108" s="27"/>
      <c r="F108" s="31"/>
      <c r="G108" s="39">
        <f aca="true" t="shared" si="10" ref="G108:I109">SUM(G109)</f>
        <v>0</v>
      </c>
      <c r="H108" s="40">
        <f t="shared" si="10"/>
        <v>20</v>
      </c>
      <c r="I108" s="40">
        <f t="shared" si="10"/>
        <v>0</v>
      </c>
      <c r="J108" s="30">
        <f t="shared" si="6"/>
        <v>0</v>
      </c>
    </row>
    <row r="109" spans="1:10" ht="47.25" outlineLevel="1">
      <c r="A109" s="25" t="s">
        <v>25</v>
      </c>
      <c r="B109" s="26" t="s">
        <v>33</v>
      </c>
      <c r="C109" s="26" t="s">
        <v>88</v>
      </c>
      <c r="D109" s="26" t="s">
        <v>26</v>
      </c>
      <c r="E109" s="27">
        <v>0</v>
      </c>
      <c r="F109" s="31"/>
      <c r="G109" s="29">
        <f t="shared" si="10"/>
        <v>0</v>
      </c>
      <c r="H109" s="30">
        <f t="shared" si="10"/>
        <v>20</v>
      </c>
      <c r="I109" s="30">
        <f t="shared" si="10"/>
        <v>0</v>
      </c>
      <c r="J109" s="30">
        <f t="shared" si="6"/>
        <v>0</v>
      </c>
    </row>
    <row r="110" spans="1:10" ht="31.5" outlineLevel="2">
      <c r="A110" s="25" t="s">
        <v>24</v>
      </c>
      <c r="B110" s="26" t="s">
        <v>33</v>
      </c>
      <c r="C110" s="26" t="s">
        <v>88</v>
      </c>
      <c r="D110" s="26" t="s">
        <v>26</v>
      </c>
      <c r="E110" s="27">
        <v>0</v>
      </c>
      <c r="F110" s="31">
        <v>200</v>
      </c>
      <c r="G110" s="29"/>
      <c r="H110" s="30">
        <v>20</v>
      </c>
      <c r="I110" s="30">
        <v>0</v>
      </c>
      <c r="J110" s="30">
        <f t="shared" si="6"/>
        <v>0</v>
      </c>
    </row>
    <row r="111" spans="1:10" ht="15.75" outlineLevel="3">
      <c r="A111" s="25" t="s">
        <v>90</v>
      </c>
      <c r="B111" s="26" t="s">
        <v>33</v>
      </c>
      <c r="C111" s="26" t="s">
        <v>91</v>
      </c>
      <c r="D111" s="26"/>
      <c r="E111" s="27"/>
      <c r="F111" s="31"/>
      <c r="G111" s="39">
        <f>SUM(G112+G116+G120)</f>
        <v>0</v>
      </c>
      <c r="H111" s="40">
        <f>SUM(H112+H116+H120)</f>
        <v>14766.43781</v>
      </c>
      <c r="I111" s="40">
        <f>SUM(I112+I116+I120)</f>
        <v>1337.28836</v>
      </c>
      <c r="J111" s="30">
        <f t="shared" si="6"/>
        <v>9.0562692045767</v>
      </c>
    </row>
    <row r="112" spans="1:10" ht="15.75" outlineLevel="3">
      <c r="A112" s="25" t="s">
        <v>92</v>
      </c>
      <c r="B112" s="26" t="s">
        <v>33</v>
      </c>
      <c r="C112" s="26" t="s">
        <v>93</v>
      </c>
      <c r="D112" s="26"/>
      <c r="E112" s="27"/>
      <c r="F112" s="31"/>
      <c r="G112" s="39">
        <f aca="true" t="shared" si="11" ref="G112:I114">SUM(G113)</f>
        <v>0</v>
      </c>
      <c r="H112" s="40">
        <f t="shared" si="11"/>
        <v>24.8</v>
      </c>
      <c r="I112" s="40">
        <f t="shared" si="11"/>
        <v>0</v>
      </c>
      <c r="J112" s="30">
        <f t="shared" si="6"/>
        <v>0</v>
      </c>
    </row>
    <row r="113" spans="1:10" ht="82.5" customHeight="1" outlineLevel="3">
      <c r="A113" s="25" t="s">
        <v>94</v>
      </c>
      <c r="B113" s="26" t="s">
        <v>33</v>
      </c>
      <c r="C113" s="26" t="s">
        <v>93</v>
      </c>
      <c r="D113" s="26"/>
      <c r="E113" s="27"/>
      <c r="F113" s="31"/>
      <c r="G113" s="39">
        <f t="shared" si="11"/>
        <v>0</v>
      </c>
      <c r="H113" s="40">
        <f t="shared" si="11"/>
        <v>24.8</v>
      </c>
      <c r="I113" s="40">
        <f t="shared" si="11"/>
        <v>0</v>
      </c>
      <c r="J113" s="30">
        <f t="shared" si="6"/>
        <v>0</v>
      </c>
    </row>
    <row r="114" spans="1:10" ht="45.75" customHeight="1" outlineLevel="3">
      <c r="A114" s="25" t="s">
        <v>25</v>
      </c>
      <c r="B114" s="26" t="s">
        <v>33</v>
      </c>
      <c r="C114" s="26" t="s">
        <v>93</v>
      </c>
      <c r="D114" s="26" t="s">
        <v>26</v>
      </c>
      <c r="E114" s="27">
        <v>0</v>
      </c>
      <c r="F114" s="31"/>
      <c r="G114" s="39">
        <f t="shared" si="11"/>
        <v>0</v>
      </c>
      <c r="H114" s="40">
        <f t="shared" si="11"/>
        <v>24.8</v>
      </c>
      <c r="I114" s="40">
        <f t="shared" si="11"/>
        <v>0</v>
      </c>
      <c r="J114" s="30">
        <f t="shared" si="6"/>
        <v>0</v>
      </c>
    </row>
    <row r="115" spans="1:10" ht="33.75" customHeight="1" outlineLevel="3">
      <c r="A115" s="25" t="s">
        <v>24</v>
      </c>
      <c r="B115" s="26" t="s">
        <v>33</v>
      </c>
      <c r="C115" s="26" t="s">
        <v>93</v>
      </c>
      <c r="D115" s="26" t="s">
        <v>26</v>
      </c>
      <c r="E115" s="27">
        <v>0</v>
      </c>
      <c r="F115" s="31">
        <v>200</v>
      </c>
      <c r="G115" s="29"/>
      <c r="H115" s="30">
        <v>24.8</v>
      </c>
      <c r="I115" s="30">
        <v>0</v>
      </c>
      <c r="J115" s="30">
        <f t="shared" si="6"/>
        <v>0</v>
      </c>
    </row>
    <row r="116" spans="1:10" ht="15.75">
      <c r="A116" s="25" t="s">
        <v>95</v>
      </c>
      <c r="B116" s="26" t="s">
        <v>33</v>
      </c>
      <c r="C116" s="26" t="s">
        <v>96</v>
      </c>
      <c r="D116" s="26"/>
      <c r="E116" s="27"/>
      <c r="F116" s="31"/>
      <c r="G116" s="39">
        <f>SUM(G117)</f>
        <v>0</v>
      </c>
      <c r="H116" s="40">
        <f>SUM(H117)</f>
        <v>11386.63781</v>
      </c>
      <c r="I116" s="40">
        <f>SUM(I117)</f>
        <v>1010.5</v>
      </c>
      <c r="J116" s="30">
        <f t="shared" si="6"/>
        <v>8.874437009953512</v>
      </c>
    </row>
    <row r="117" spans="1:10" ht="66" customHeight="1" outlineLevel="1">
      <c r="A117" s="25" t="s">
        <v>97</v>
      </c>
      <c r="B117" s="26" t="s">
        <v>33</v>
      </c>
      <c r="C117" s="26" t="s">
        <v>96</v>
      </c>
      <c r="D117" s="26" t="s">
        <v>98</v>
      </c>
      <c r="E117" s="27">
        <v>0</v>
      </c>
      <c r="F117" s="42"/>
      <c r="G117" s="29">
        <f>SUM(G118:G119)</f>
        <v>0</v>
      </c>
      <c r="H117" s="30">
        <f>SUM(H118:H119)</f>
        <v>11386.63781</v>
      </c>
      <c r="I117" s="30">
        <f>SUM(I118:I119)</f>
        <v>1010.5</v>
      </c>
      <c r="J117" s="30">
        <f t="shared" si="6"/>
        <v>8.874437009953512</v>
      </c>
    </row>
    <row r="118" spans="1:10" ht="31.5" outlineLevel="2">
      <c r="A118" s="25" t="s">
        <v>24</v>
      </c>
      <c r="B118" s="26" t="s">
        <v>33</v>
      </c>
      <c r="C118" s="26" t="s">
        <v>96</v>
      </c>
      <c r="D118" s="26" t="s">
        <v>98</v>
      </c>
      <c r="E118" s="27">
        <v>0</v>
      </c>
      <c r="F118" s="42">
        <v>200</v>
      </c>
      <c r="G118" s="29"/>
      <c r="H118" s="30">
        <f>3397.7+7227.33781-3000+761.6</f>
        <v>8386.63781</v>
      </c>
      <c r="I118" s="30">
        <v>10.5</v>
      </c>
      <c r="J118" s="30">
        <f t="shared" si="6"/>
        <v>0.12519915892254324</v>
      </c>
    </row>
    <row r="119" spans="1:10" ht="15.75" outlineLevel="2">
      <c r="A119" s="25" t="s">
        <v>99</v>
      </c>
      <c r="B119" s="26" t="s">
        <v>33</v>
      </c>
      <c r="C119" s="26" t="s">
        <v>96</v>
      </c>
      <c r="D119" s="26" t="s">
        <v>98</v>
      </c>
      <c r="E119" s="27">
        <v>0</v>
      </c>
      <c r="F119" s="42">
        <v>500</v>
      </c>
      <c r="G119" s="29"/>
      <c r="H119" s="30">
        <v>3000</v>
      </c>
      <c r="I119" s="30">
        <v>1000</v>
      </c>
      <c r="J119" s="30">
        <f t="shared" si="6"/>
        <v>33.33333333333333</v>
      </c>
    </row>
    <row r="120" spans="1:10" ht="17.25" customHeight="1" outlineLevel="3">
      <c r="A120" s="25" t="s">
        <v>100</v>
      </c>
      <c r="B120" s="26" t="s">
        <v>33</v>
      </c>
      <c r="C120" s="26" t="s">
        <v>101</v>
      </c>
      <c r="D120" s="26"/>
      <c r="E120" s="27"/>
      <c r="F120" s="31"/>
      <c r="G120" s="29">
        <f>SUM(G121+G125+G127+G130)</f>
        <v>0</v>
      </c>
      <c r="H120" s="30">
        <f>SUM(H121+H125+H127+H130)</f>
        <v>3355</v>
      </c>
      <c r="I120" s="30">
        <f>SUM(I121+I125+I127+I130)</f>
        <v>326.78836</v>
      </c>
      <c r="J120" s="30">
        <f t="shared" si="6"/>
        <v>9.740338599105812</v>
      </c>
    </row>
    <row r="121" spans="1:10" ht="46.5" customHeight="1" outlineLevel="3">
      <c r="A121" s="25" t="s">
        <v>102</v>
      </c>
      <c r="B121" s="26" t="s">
        <v>33</v>
      </c>
      <c r="C121" s="26" t="s">
        <v>101</v>
      </c>
      <c r="D121" s="26" t="s">
        <v>103</v>
      </c>
      <c r="E121" s="27">
        <v>0</v>
      </c>
      <c r="F121" s="31"/>
      <c r="G121" s="29">
        <f>SUM(G122:G124)</f>
        <v>0</v>
      </c>
      <c r="H121" s="30">
        <f>SUM(H122:H124)</f>
        <v>300</v>
      </c>
      <c r="I121" s="30">
        <f>SUM(I122:I124)</f>
        <v>76.494</v>
      </c>
      <c r="J121" s="30">
        <f t="shared" si="6"/>
        <v>25.497999999999998</v>
      </c>
    </row>
    <row r="122" spans="1:10" ht="31.5" outlineLevel="3">
      <c r="A122" s="25" t="s">
        <v>24</v>
      </c>
      <c r="B122" s="26" t="s">
        <v>33</v>
      </c>
      <c r="C122" s="26" t="s">
        <v>101</v>
      </c>
      <c r="D122" s="26" t="s">
        <v>103</v>
      </c>
      <c r="E122" s="27">
        <v>0</v>
      </c>
      <c r="F122" s="31">
        <v>200</v>
      </c>
      <c r="G122" s="29"/>
      <c r="H122" s="30">
        <v>50</v>
      </c>
      <c r="I122" s="30">
        <v>26.494</v>
      </c>
      <c r="J122" s="30">
        <f t="shared" si="6"/>
        <v>52.988</v>
      </c>
    </row>
    <row r="123" spans="1:10" ht="24" customHeight="1" outlineLevel="3">
      <c r="A123" s="25" t="s">
        <v>104</v>
      </c>
      <c r="B123" s="26" t="s">
        <v>33</v>
      </c>
      <c r="C123" s="26" t="s">
        <v>101</v>
      </c>
      <c r="D123" s="26" t="s">
        <v>103</v>
      </c>
      <c r="E123" s="27">
        <v>0</v>
      </c>
      <c r="F123" s="31">
        <v>300</v>
      </c>
      <c r="G123" s="29"/>
      <c r="H123" s="30">
        <v>50</v>
      </c>
      <c r="I123" s="30">
        <v>50</v>
      </c>
      <c r="J123" s="30">
        <f t="shared" si="6"/>
        <v>100</v>
      </c>
    </row>
    <row r="124" spans="1:10" ht="15.75" outlineLevel="3">
      <c r="A124" s="25" t="s">
        <v>27</v>
      </c>
      <c r="B124" s="26" t="s">
        <v>33</v>
      </c>
      <c r="C124" s="26" t="s">
        <v>101</v>
      </c>
      <c r="D124" s="26" t="s">
        <v>103</v>
      </c>
      <c r="E124" s="27">
        <v>0</v>
      </c>
      <c r="F124" s="31">
        <v>800</v>
      </c>
      <c r="G124" s="29"/>
      <c r="H124" s="30">
        <v>200</v>
      </c>
      <c r="I124" s="30">
        <v>0</v>
      </c>
      <c r="J124" s="30">
        <f t="shared" si="6"/>
        <v>0</v>
      </c>
    </row>
    <row r="125" spans="1:10" ht="63" customHeight="1" outlineLevel="3">
      <c r="A125" s="25" t="s">
        <v>105</v>
      </c>
      <c r="B125" s="26" t="s">
        <v>33</v>
      </c>
      <c r="C125" s="26" t="s">
        <v>101</v>
      </c>
      <c r="D125" s="26" t="s">
        <v>106</v>
      </c>
      <c r="E125" s="27">
        <v>0</v>
      </c>
      <c r="F125" s="31"/>
      <c r="G125" s="29">
        <f>SUM(G126)</f>
        <v>0</v>
      </c>
      <c r="H125" s="30">
        <f>SUM(H126)</f>
        <v>100</v>
      </c>
      <c r="I125" s="30">
        <f>SUM(I126)</f>
        <v>0</v>
      </c>
      <c r="J125" s="30">
        <f t="shared" si="6"/>
        <v>0</v>
      </c>
    </row>
    <row r="126" spans="1:10" ht="28.5" customHeight="1" outlineLevel="3">
      <c r="A126" s="25" t="s">
        <v>59</v>
      </c>
      <c r="B126" s="26" t="s">
        <v>33</v>
      </c>
      <c r="C126" s="26" t="s">
        <v>101</v>
      </c>
      <c r="D126" s="26" t="s">
        <v>106</v>
      </c>
      <c r="E126" s="27">
        <v>0</v>
      </c>
      <c r="F126" s="31">
        <v>600</v>
      </c>
      <c r="G126" s="29"/>
      <c r="H126" s="30">
        <v>100</v>
      </c>
      <c r="I126" s="30">
        <v>0</v>
      </c>
      <c r="J126" s="30">
        <f t="shared" si="6"/>
        <v>0</v>
      </c>
    </row>
    <row r="127" spans="1:10" ht="31.5" outlineLevel="1">
      <c r="A127" s="25" t="s">
        <v>107</v>
      </c>
      <c r="B127" s="26" t="s">
        <v>33</v>
      </c>
      <c r="C127" s="26" t="s">
        <v>101</v>
      </c>
      <c r="D127" s="26"/>
      <c r="E127" s="27"/>
      <c r="F127" s="31"/>
      <c r="G127" s="29">
        <f aca="true" t="shared" si="12" ref="G127:I128">SUM(G128)</f>
        <v>0</v>
      </c>
      <c r="H127" s="30">
        <f t="shared" si="12"/>
        <v>325</v>
      </c>
      <c r="I127" s="30">
        <f t="shared" si="12"/>
        <v>103.04</v>
      </c>
      <c r="J127" s="30">
        <f t="shared" si="6"/>
        <v>31.704615384615387</v>
      </c>
    </row>
    <row r="128" spans="1:10" ht="47.25" outlineLevel="2">
      <c r="A128" s="25" t="s">
        <v>25</v>
      </c>
      <c r="B128" s="26" t="s">
        <v>33</v>
      </c>
      <c r="C128" s="26" t="s">
        <v>101</v>
      </c>
      <c r="D128" s="26" t="s">
        <v>26</v>
      </c>
      <c r="E128" s="27">
        <v>0</v>
      </c>
      <c r="F128" s="31"/>
      <c r="G128" s="29">
        <f t="shared" si="12"/>
        <v>0</v>
      </c>
      <c r="H128" s="30">
        <f t="shared" si="12"/>
        <v>325</v>
      </c>
      <c r="I128" s="30">
        <f t="shared" si="12"/>
        <v>103.04</v>
      </c>
      <c r="J128" s="30">
        <f t="shared" si="6"/>
        <v>31.704615384615387</v>
      </c>
    </row>
    <row r="129" spans="1:10" ht="31.5" outlineLevel="3">
      <c r="A129" s="25" t="s">
        <v>24</v>
      </c>
      <c r="B129" s="26" t="s">
        <v>33</v>
      </c>
      <c r="C129" s="26" t="s">
        <v>101</v>
      </c>
      <c r="D129" s="26" t="s">
        <v>26</v>
      </c>
      <c r="E129" s="27">
        <v>0</v>
      </c>
      <c r="F129" s="31">
        <v>200</v>
      </c>
      <c r="G129" s="29"/>
      <c r="H129" s="30">
        <v>325</v>
      </c>
      <c r="I129" s="30">
        <v>103.04</v>
      </c>
      <c r="J129" s="30">
        <f t="shared" si="6"/>
        <v>31.704615384615387</v>
      </c>
    </row>
    <row r="130" spans="1:10" ht="31.5" outlineLevel="3">
      <c r="A130" s="25" t="s">
        <v>108</v>
      </c>
      <c r="B130" s="26" t="s">
        <v>33</v>
      </c>
      <c r="C130" s="26" t="s">
        <v>101</v>
      </c>
      <c r="D130" s="26"/>
      <c r="E130" s="27"/>
      <c r="F130" s="31"/>
      <c r="G130" s="29">
        <f aca="true" t="shared" si="13" ref="G130:I131">SUM(G131)</f>
        <v>0</v>
      </c>
      <c r="H130" s="30">
        <f t="shared" si="13"/>
        <v>2630</v>
      </c>
      <c r="I130" s="30">
        <f t="shared" si="13"/>
        <v>147.25436</v>
      </c>
      <c r="J130" s="30">
        <f t="shared" si="6"/>
        <v>5.5990250950570335</v>
      </c>
    </row>
    <row r="131" spans="1:10" ht="47.25" outlineLevel="3">
      <c r="A131" s="25" t="s">
        <v>25</v>
      </c>
      <c r="B131" s="26" t="s">
        <v>33</v>
      </c>
      <c r="C131" s="26" t="s">
        <v>101</v>
      </c>
      <c r="D131" s="26" t="s">
        <v>26</v>
      </c>
      <c r="E131" s="27">
        <v>0</v>
      </c>
      <c r="F131" s="31"/>
      <c r="G131" s="29">
        <f t="shared" si="13"/>
        <v>0</v>
      </c>
      <c r="H131" s="30">
        <f t="shared" si="13"/>
        <v>2630</v>
      </c>
      <c r="I131" s="30">
        <f t="shared" si="13"/>
        <v>147.25436</v>
      </c>
      <c r="J131" s="30">
        <f t="shared" si="6"/>
        <v>5.5990250950570335</v>
      </c>
    </row>
    <row r="132" spans="1:10" ht="31.5" outlineLevel="3">
      <c r="A132" s="25" t="s">
        <v>24</v>
      </c>
      <c r="B132" s="26" t="s">
        <v>33</v>
      </c>
      <c r="C132" s="26" t="s">
        <v>101</v>
      </c>
      <c r="D132" s="26" t="s">
        <v>26</v>
      </c>
      <c r="E132" s="27">
        <v>0</v>
      </c>
      <c r="F132" s="31">
        <v>200</v>
      </c>
      <c r="G132" s="29"/>
      <c r="H132" s="30">
        <v>2630</v>
      </c>
      <c r="I132" s="30">
        <v>147.25436</v>
      </c>
      <c r="J132" s="30">
        <f t="shared" si="6"/>
        <v>5.5990250950570335</v>
      </c>
    </row>
    <row r="133" spans="1:10" ht="15.75" outlineLevel="3">
      <c r="A133" s="25" t="s">
        <v>109</v>
      </c>
      <c r="B133" s="26" t="s">
        <v>33</v>
      </c>
      <c r="C133" s="26" t="s">
        <v>110</v>
      </c>
      <c r="D133" s="26"/>
      <c r="E133" s="27"/>
      <c r="F133" s="31"/>
      <c r="G133" s="29">
        <f>SUM(G134+G138)</f>
        <v>0</v>
      </c>
      <c r="H133" s="30">
        <f>SUM(H134+H138)</f>
        <v>5590.233319999999</v>
      </c>
      <c r="I133" s="30">
        <f>SUM(I134+I138)</f>
        <v>2096.72842</v>
      </c>
      <c r="J133" s="30">
        <f t="shared" si="6"/>
        <v>37.50699299971258</v>
      </c>
    </row>
    <row r="134" spans="1:10" ht="15.75" outlineLevel="3">
      <c r="A134" s="25" t="s">
        <v>111</v>
      </c>
      <c r="B134" s="26" t="s">
        <v>33</v>
      </c>
      <c r="C134" s="26" t="s">
        <v>112</v>
      </c>
      <c r="D134" s="26"/>
      <c r="E134" s="27"/>
      <c r="F134" s="31"/>
      <c r="G134" s="29">
        <f aca="true" t="shared" si="14" ref="G134:I136">SUM(G135)</f>
        <v>0</v>
      </c>
      <c r="H134" s="30">
        <f t="shared" si="14"/>
        <v>0</v>
      </c>
      <c r="I134" s="30">
        <f t="shared" si="14"/>
        <v>0</v>
      </c>
      <c r="J134" s="30">
        <v>0</v>
      </c>
    </row>
    <row r="135" spans="1:10" ht="62.25" customHeight="1" outlineLevel="3">
      <c r="A135" s="25" t="s">
        <v>56</v>
      </c>
      <c r="B135" s="26" t="s">
        <v>33</v>
      </c>
      <c r="C135" s="26" t="s">
        <v>112</v>
      </c>
      <c r="D135" s="26" t="s">
        <v>57</v>
      </c>
      <c r="E135" s="27">
        <v>0</v>
      </c>
      <c r="F135" s="31"/>
      <c r="G135" s="29">
        <f t="shared" si="14"/>
        <v>0</v>
      </c>
      <c r="H135" s="30">
        <f t="shared" si="14"/>
        <v>0</v>
      </c>
      <c r="I135" s="30">
        <f t="shared" si="14"/>
        <v>0</v>
      </c>
      <c r="J135" s="30">
        <v>0</v>
      </c>
    </row>
    <row r="136" spans="1:10" ht="72" customHeight="1" outlineLevel="3">
      <c r="A136" s="25" t="s">
        <v>113</v>
      </c>
      <c r="B136" s="26" t="s">
        <v>33</v>
      </c>
      <c r="C136" s="26" t="s">
        <v>112</v>
      </c>
      <c r="D136" s="26" t="s">
        <v>57</v>
      </c>
      <c r="E136" s="27">
        <v>1</v>
      </c>
      <c r="F136" s="31"/>
      <c r="G136" s="29">
        <f t="shared" si="14"/>
        <v>0</v>
      </c>
      <c r="H136" s="30">
        <f t="shared" si="14"/>
        <v>0</v>
      </c>
      <c r="I136" s="30">
        <f t="shared" si="14"/>
        <v>0</v>
      </c>
      <c r="J136" s="30">
        <v>0</v>
      </c>
    </row>
    <row r="137" spans="1:10" ht="15.75" outlineLevel="3">
      <c r="A137" s="25" t="s">
        <v>99</v>
      </c>
      <c r="B137" s="26" t="s">
        <v>33</v>
      </c>
      <c r="C137" s="26" t="s">
        <v>112</v>
      </c>
      <c r="D137" s="26" t="s">
        <v>57</v>
      </c>
      <c r="E137" s="27">
        <v>1</v>
      </c>
      <c r="F137" s="31">
        <v>500</v>
      </c>
      <c r="G137" s="29"/>
      <c r="H137" s="30">
        <f>100-100</f>
        <v>0</v>
      </c>
      <c r="I137" s="30">
        <v>0</v>
      </c>
      <c r="J137" s="30">
        <v>0</v>
      </c>
    </row>
    <row r="138" spans="1:10" ht="15.75" outlineLevel="3">
      <c r="A138" s="25" t="s">
        <v>114</v>
      </c>
      <c r="B138" s="26" t="s">
        <v>33</v>
      </c>
      <c r="C138" s="26" t="s">
        <v>115</v>
      </c>
      <c r="D138" s="26"/>
      <c r="E138" s="27"/>
      <c r="F138" s="31"/>
      <c r="G138" s="29">
        <f>SUM(G139+G148+G150)</f>
        <v>0</v>
      </c>
      <c r="H138" s="30">
        <f>SUM(H139+H148+H150)</f>
        <v>5590.233319999999</v>
      </c>
      <c r="I138" s="30">
        <f>SUM(I139+I148+I150)</f>
        <v>2096.72842</v>
      </c>
      <c r="J138" s="30">
        <f aca="true" t="shared" si="15" ref="J138:J201">SUM(I138/H138)*100</f>
        <v>37.50699299971258</v>
      </c>
    </row>
    <row r="139" spans="1:10" ht="64.5" customHeight="1" outlineLevel="1">
      <c r="A139" s="25" t="s">
        <v>56</v>
      </c>
      <c r="B139" s="26" t="s">
        <v>33</v>
      </c>
      <c r="C139" s="26" t="s">
        <v>115</v>
      </c>
      <c r="D139" s="26" t="s">
        <v>57</v>
      </c>
      <c r="E139" s="27">
        <v>0</v>
      </c>
      <c r="F139" s="31"/>
      <c r="G139" s="29">
        <f>SUM(G140+G143+G146)</f>
        <v>0</v>
      </c>
      <c r="H139" s="30">
        <f>SUM(H140+H143+H146)</f>
        <v>5590.233319999999</v>
      </c>
      <c r="I139" s="30">
        <f>SUM(I140+I143+I146)</f>
        <v>2096.72842</v>
      </c>
      <c r="J139" s="30">
        <f t="shared" si="15"/>
        <v>37.50699299971258</v>
      </c>
    </row>
    <row r="140" spans="1:10" ht="64.5" customHeight="1" outlineLevel="1">
      <c r="A140" s="25" t="s">
        <v>113</v>
      </c>
      <c r="B140" s="26" t="s">
        <v>33</v>
      </c>
      <c r="C140" s="26" t="s">
        <v>115</v>
      </c>
      <c r="D140" s="26" t="s">
        <v>57</v>
      </c>
      <c r="E140" s="27">
        <v>1</v>
      </c>
      <c r="F140" s="31"/>
      <c r="G140" s="29">
        <f>SUM(G141:G142)</f>
        <v>0</v>
      </c>
      <c r="H140" s="30">
        <f>SUM(H141:H142)</f>
        <v>5179.75</v>
      </c>
      <c r="I140" s="30">
        <f>SUM(I141:I142)</f>
        <v>1847.79494</v>
      </c>
      <c r="J140" s="30">
        <f t="shared" si="15"/>
        <v>35.673438679472945</v>
      </c>
    </row>
    <row r="141" spans="1:10" ht="33.75" customHeight="1" outlineLevel="1">
      <c r="A141" s="25" t="s">
        <v>24</v>
      </c>
      <c r="B141" s="26" t="s">
        <v>33</v>
      </c>
      <c r="C141" s="26" t="s">
        <v>115</v>
      </c>
      <c r="D141" s="26" t="s">
        <v>57</v>
      </c>
      <c r="E141" s="27">
        <v>1</v>
      </c>
      <c r="F141" s="31">
        <v>200</v>
      </c>
      <c r="G141" s="29"/>
      <c r="H141" s="30">
        <f>410-0.25</f>
        <v>409.75</v>
      </c>
      <c r="I141" s="30">
        <v>257.79494</v>
      </c>
      <c r="J141" s="30">
        <f t="shared" si="15"/>
        <v>62.91517754728493</v>
      </c>
    </row>
    <row r="142" spans="1:10" ht="18.75" customHeight="1" outlineLevel="1">
      <c r="A142" s="25" t="s">
        <v>99</v>
      </c>
      <c r="B142" s="26" t="s">
        <v>33</v>
      </c>
      <c r="C142" s="26" t="s">
        <v>115</v>
      </c>
      <c r="D142" s="26" t="s">
        <v>57</v>
      </c>
      <c r="E142" s="27">
        <v>1</v>
      </c>
      <c r="F142" s="31">
        <v>500</v>
      </c>
      <c r="G142" s="29"/>
      <c r="H142" s="30">
        <f>4985-315+100</f>
        <v>4770</v>
      </c>
      <c r="I142" s="30">
        <v>1590</v>
      </c>
      <c r="J142" s="30">
        <f t="shared" si="15"/>
        <v>33.33333333333333</v>
      </c>
    </row>
    <row r="143" spans="1:10" ht="36.75" customHeight="1" outlineLevel="1">
      <c r="A143" s="25" t="s">
        <v>116</v>
      </c>
      <c r="B143" s="26" t="s">
        <v>33</v>
      </c>
      <c r="C143" s="26" t="s">
        <v>115</v>
      </c>
      <c r="D143" s="26" t="s">
        <v>57</v>
      </c>
      <c r="E143" s="27">
        <v>2</v>
      </c>
      <c r="F143" s="31"/>
      <c r="G143" s="29">
        <f>SUM(G144:G145)</f>
        <v>0</v>
      </c>
      <c r="H143" s="30">
        <f>SUM(H144:H145)</f>
        <v>248.95</v>
      </c>
      <c r="I143" s="30">
        <f>SUM(I144:I145)</f>
        <v>248.93348</v>
      </c>
      <c r="J143" s="30">
        <f t="shared" si="15"/>
        <v>99.99336412934325</v>
      </c>
    </row>
    <row r="144" spans="1:10" ht="29.25" customHeight="1" outlineLevel="1">
      <c r="A144" s="25" t="s">
        <v>117</v>
      </c>
      <c r="B144" s="26" t="s">
        <v>33</v>
      </c>
      <c r="C144" s="26" t="s">
        <v>115</v>
      </c>
      <c r="D144" s="26" t="s">
        <v>57</v>
      </c>
      <c r="E144" s="27">
        <v>2</v>
      </c>
      <c r="F144" s="31">
        <v>400</v>
      </c>
      <c r="G144" s="29"/>
      <c r="H144" s="30">
        <v>248.7</v>
      </c>
      <c r="I144" s="30">
        <v>248.68348</v>
      </c>
      <c r="J144" s="30">
        <f t="shared" si="15"/>
        <v>99.9933574587857</v>
      </c>
    </row>
    <row r="145" spans="1:10" ht="29.25" customHeight="1" outlineLevel="1">
      <c r="A145" s="25" t="s">
        <v>24</v>
      </c>
      <c r="B145" s="26" t="s">
        <v>33</v>
      </c>
      <c r="C145" s="26" t="s">
        <v>115</v>
      </c>
      <c r="D145" s="26" t="s">
        <v>57</v>
      </c>
      <c r="E145" s="27">
        <v>2</v>
      </c>
      <c r="F145" s="31">
        <v>400</v>
      </c>
      <c r="G145" s="29"/>
      <c r="H145" s="30">
        <f>0.25</f>
        <v>0.25</v>
      </c>
      <c r="I145" s="30">
        <v>0.25</v>
      </c>
      <c r="J145" s="30">
        <f t="shared" si="15"/>
        <v>100</v>
      </c>
    </row>
    <row r="146" spans="1:10" ht="52.5" customHeight="1" outlineLevel="1">
      <c r="A146" s="25" t="s">
        <v>118</v>
      </c>
      <c r="B146" s="26" t="s">
        <v>33</v>
      </c>
      <c r="C146" s="26" t="s">
        <v>115</v>
      </c>
      <c r="D146" s="26" t="s">
        <v>57</v>
      </c>
      <c r="E146" s="27">
        <v>3</v>
      </c>
      <c r="F146" s="31"/>
      <c r="G146" s="29">
        <f>SUM(G147)</f>
        <v>0</v>
      </c>
      <c r="H146" s="30">
        <f>SUM(H147)</f>
        <v>161.53332</v>
      </c>
      <c r="I146" s="30">
        <f>SUM(I147)</f>
        <v>0</v>
      </c>
      <c r="J146" s="30">
        <f t="shared" si="15"/>
        <v>0</v>
      </c>
    </row>
    <row r="147" spans="1:10" ht="38.25" customHeight="1" outlineLevel="1">
      <c r="A147" s="25" t="s">
        <v>119</v>
      </c>
      <c r="B147" s="26" t="s">
        <v>33</v>
      </c>
      <c r="C147" s="26" t="s">
        <v>115</v>
      </c>
      <c r="D147" s="26" t="s">
        <v>57</v>
      </c>
      <c r="E147" s="27">
        <v>3</v>
      </c>
      <c r="F147" s="31">
        <v>200</v>
      </c>
      <c r="G147" s="29"/>
      <c r="H147" s="30">
        <f>161.53332</f>
        <v>161.53332</v>
      </c>
      <c r="I147" s="30">
        <v>0</v>
      </c>
      <c r="J147" s="30">
        <f t="shared" si="15"/>
        <v>0</v>
      </c>
    </row>
    <row r="148" spans="1:10" ht="48.75" customHeight="1" outlineLevel="2">
      <c r="A148" s="25" t="s">
        <v>120</v>
      </c>
      <c r="B148" s="26" t="s">
        <v>33</v>
      </c>
      <c r="C148" s="26" t="s">
        <v>115</v>
      </c>
      <c r="D148" s="26" t="s">
        <v>121</v>
      </c>
      <c r="E148" s="27">
        <v>0</v>
      </c>
      <c r="F148" s="31"/>
      <c r="G148" s="29">
        <f>SUM(G149)</f>
        <v>0</v>
      </c>
      <c r="H148" s="30">
        <f>SUM(H149)</f>
        <v>0</v>
      </c>
      <c r="I148" s="30">
        <f>SUM(I149)</f>
        <v>0</v>
      </c>
      <c r="J148" s="30">
        <v>0</v>
      </c>
    </row>
    <row r="149" spans="1:10" ht="30.75" customHeight="1" outlineLevel="5">
      <c r="A149" s="25" t="s">
        <v>122</v>
      </c>
      <c r="B149" s="26" t="s">
        <v>33</v>
      </c>
      <c r="C149" s="26" t="s">
        <v>115</v>
      </c>
      <c r="D149" s="26" t="s">
        <v>121</v>
      </c>
      <c r="E149" s="27">
        <v>0</v>
      </c>
      <c r="F149" s="31">
        <v>400</v>
      </c>
      <c r="G149" s="29"/>
      <c r="H149" s="30">
        <v>0</v>
      </c>
      <c r="I149" s="30">
        <v>0</v>
      </c>
      <c r="J149" s="30">
        <v>0</v>
      </c>
    </row>
    <row r="150" spans="1:10" ht="80.25" customHeight="1" outlineLevel="2">
      <c r="A150" s="25" t="s">
        <v>123</v>
      </c>
      <c r="B150" s="26" t="s">
        <v>33</v>
      </c>
      <c r="C150" s="26" t="s">
        <v>115</v>
      </c>
      <c r="D150" s="26"/>
      <c r="E150" s="27"/>
      <c r="F150" s="31"/>
      <c r="G150" s="29">
        <f aca="true" t="shared" si="16" ref="G150:I151">SUM(G151)</f>
        <v>0</v>
      </c>
      <c r="H150" s="30">
        <f t="shared" si="16"/>
        <v>0</v>
      </c>
      <c r="I150" s="30">
        <f t="shared" si="16"/>
        <v>0</v>
      </c>
      <c r="J150" s="30">
        <v>0</v>
      </c>
    </row>
    <row r="151" spans="1:10" ht="47.25" outlineLevel="2">
      <c r="A151" s="25" t="s">
        <v>25</v>
      </c>
      <c r="B151" s="26" t="s">
        <v>33</v>
      </c>
      <c r="C151" s="26" t="s">
        <v>115</v>
      </c>
      <c r="D151" s="26" t="s">
        <v>26</v>
      </c>
      <c r="E151" s="27">
        <v>0</v>
      </c>
      <c r="F151" s="31"/>
      <c r="G151" s="29">
        <f t="shared" si="16"/>
        <v>0</v>
      </c>
      <c r="H151" s="30">
        <f t="shared" si="16"/>
        <v>0</v>
      </c>
      <c r="I151" s="30">
        <f t="shared" si="16"/>
        <v>0</v>
      </c>
      <c r="J151" s="30">
        <v>0</v>
      </c>
    </row>
    <row r="152" spans="1:10" ht="15.75" outlineLevel="2">
      <c r="A152" s="25" t="s">
        <v>27</v>
      </c>
      <c r="B152" s="26" t="s">
        <v>33</v>
      </c>
      <c r="C152" s="26" t="s">
        <v>115</v>
      </c>
      <c r="D152" s="26" t="s">
        <v>26</v>
      </c>
      <c r="E152" s="27">
        <v>0</v>
      </c>
      <c r="F152" s="31">
        <v>800</v>
      </c>
      <c r="G152" s="29"/>
      <c r="H152" s="30">
        <v>0</v>
      </c>
      <c r="I152" s="30">
        <v>0</v>
      </c>
      <c r="J152" s="30">
        <v>0</v>
      </c>
    </row>
    <row r="153" spans="1:10" ht="15.75" outlineLevel="5">
      <c r="A153" s="25" t="s">
        <v>124</v>
      </c>
      <c r="B153" s="26" t="s">
        <v>33</v>
      </c>
      <c r="C153" s="26" t="s">
        <v>125</v>
      </c>
      <c r="D153" s="26"/>
      <c r="E153" s="27"/>
      <c r="F153" s="31"/>
      <c r="G153" s="29">
        <f>SUM(G155)</f>
        <v>0</v>
      </c>
      <c r="H153" s="30">
        <f>SUM(H155)</f>
        <v>50</v>
      </c>
      <c r="I153" s="30">
        <f>SUM(I155)</f>
        <v>0</v>
      </c>
      <c r="J153" s="30">
        <f t="shared" si="15"/>
        <v>0</v>
      </c>
    </row>
    <row r="154" spans="1:10" ht="53.25" customHeight="1" outlineLevel="5">
      <c r="A154" s="25" t="s">
        <v>126</v>
      </c>
      <c r="B154" s="26" t="s">
        <v>33</v>
      </c>
      <c r="C154" s="26" t="s">
        <v>127</v>
      </c>
      <c r="D154" s="26" t="s">
        <v>128</v>
      </c>
      <c r="E154" s="27">
        <v>0</v>
      </c>
      <c r="F154" s="31"/>
      <c r="G154" s="29">
        <f>SUM(G155)</f>
        <v>0</v>
      </c>
      <c r="H154" s="30">
        <f>SUM(H155)</f>
        <v>50</v>
      </c>
      <c r="I154" s="30">
        <f>SUM(I155)</f>
        <v>0</v>
      </c>
      <c r="J154" s="30">
        <f t="shared" si="15"/>
        <v>0</v>
      </c>
    </row>
    <row r="155" spans="1:10" ht="36" customHeight="1" outlineLevel="5">
      <c r="A155" s="25" t="s">
        <v>24</v>
      </c>
      <c r="B155" s="26" t="s">
        <v>33</v>
      </c>
      <c r="C155" s="26" t="s">
        <v>127</v>
      </c>
      <c r="D155" s="26" t="s">
        <v>128</v>
      </c>
      <c r="E155" s="27">
        <v>0</v>
      </c>
      <c r="F155" s="31">
        <v>200</v>
      </c>
      <c r="G155" s="29"/>
      <c r="H155" s="30">
        <v>50</v>
      </c>
      <c r="I155" s="30">
        <v>0</v>
      </c>
      <c r="J155" s="30">
        <f t="shared" si="15"/>
        <v>0</v>
      </c>
    </row>
    <row r="156" spans="1:10" ht="15.75" outlineLevel="5">
      <c r="A156" s="25" t="s">
        <v>129</v>
      </c>
      <c r="B156" s="26" t="s">
        <v>33</v>
      </c>
      <c r="C156" s="26" t="s">
        <v>130</v>
      </c>
      <c r="D156" s="26"/>
      <c r="E156" s="27"/>
      <c r="F156" s="31"/>
      <c r="G156" s="29">
        <f>SUM(G157+G170+G208+G227)</f>
        <v>200</v>
      </c>
      <c r="H156" s="30">
        <f>SUM(H157+H170+H208+H227)</f>
        <v>162583.70263</v>
      </c>
      <c r="I156" s="30">
        <f>SUM(I157+I170+I208+I227)</f>
        <v>127625.73658000001</v>
      </c>
      <c r="J156" s="30">
        <f t="shared" si="15"/>
        <v>78.49848079204124</v>
      </c>
    </row>
    <row r="157" spans="1:10" ht="15.75" outlineLevel="5">
      <c r="A157" s="25" t="s">
        <v>131</v>
      </c>
      <c r="B157" s="26" t="s">
        <v>33</v>
      </c>
      <c r="C157" s="26" t="s">
        <v>132</v>
      </c>
      <c r="D157" s="26"/>
      <c r="E157" s="27"/>
      <c r="F157" s="31"/>
      <c r="G157" s="29">
        <f>SUM(G158+G165+G163)</f>
        <v>0</v>
      </c>
      <c r="H157" s="30">
        <f>SUM(H158+H165+H163)</f>
        <v>27486.280609999998</v>
      </c>
      <c r="I157" s="30">
        <f>SUM(I158+I165+I163)</f>
        <v>23701.83186</v>
      </c>
      <c r="J157" s="30">
        <f t="shared" si="15"/>
        <v>86.23149925703972</v>
      </c>
    </row>
    <row r="158" spans="1:10" ht="64.5" customHeight="1" outlineLevel="5">
      <c r="A158" s="25" t="s">
        <v>56</v>
      </c>
      <c r="B158" s="26" t="s">
        <v>33</v>
      </c>
      <c r="C158" s="26" t="s">
        <v>132</v>
      </c>
      <c r="D158" s="26" t="s">
        <v>57</v>
      </c>
      <c r="E158" s="27">
        <v>0</v>
      </c>
      <c r="F158" s="31"/>
      <c r="G158" s="29">
        <f>SUM(G159+G161)</f>
        <v>0</v>
      </c>
      <c r="H158" s="30">
        <f>SUM(H159+H161)</f>
        <v>1619.6</v>
      </c>
      <c r="I158" s="30">
        <f>SUM(I159+I161)</f>
        <v>1520.2120499999999</v>
      </c>
      <c r="J158" s="30">
        <f t="shared" si="15"/>
        <v>93.86342615460607</v>
      </c>
    </row>
    <row r="159" spans="1:10" ht="48" customHeight="1" outlineLevel="5">
      <c r="A159" s="25" t="s">
        <v>133</v>
      </c>
      <c r="B159" s="26" t="s">
        <v>33</v>
      </c>
      <c r="C159" s="26" t="s">
        <v>132</v>
      </c>
      <c r="D159" s="26" t="s">
        <v>57</v>
      </c>
      <c r="E159" s="27">
        <v>3</v>
      </c>
      <c r="F159" s="31"/>
      <c r="G159" s="29">
        <f>SUM(G160:G160)</f>
        <v>0</v>
      </c>
      <c r="H159" s="30">
        <f>SUM(H160:H160)</f>
        <v>1179.6</v>
      </c>
      <c r="I159" s="30">
        <f>SUM(I160:I160)</f>
        <v>1179.6</v>
      </c>
      <c r="J159" s="30">
        <f t="shared" si="15"/>
        <v>100</v>
      </c>
    </row>
    <row r="160" spans="1:10" ht="39.75" customHeight="1" outlineLevel="5">
      <c r="A160" s="25" t="s">
        <v>59</v>
      </c>
      <c r="B160" s="26" t="s">
        <v>33</v>
      </c>
      <c r="C160" s="26" t="s">
        <v>132</v>
      </c>
      <c r="D160" s="26" t="s">
        <v>57</v>
      </c>
      <c r="E160" s="27">
        <v>3</v>
      </c>
      <c r="F160" s="31">
        <v>600</v>
      </c>
      <c r="G160" s="29"/>
      <c r="H160" s="30">
        <f>929.6+250</f>
        <v>1179.6</v>
      </c>
      <c r="I160" s="30">
        <v>1179.6</v>
      </c>
      <c r="J160" s="30">
        <f t="shared" si="15"/>
        <v>100</v>
      </c>
    </row>
    <row r="161" spans="1:10" ht="47.25" outlineLevel="5">
      <c r="A161" s="25" t="s">
        <v>58</v>
      </c>
      <c r="B161" s="26" t="s">
        <v>33</v>
      </c>
      <c r="C161" s="26" t="s">
        <v>132</v>
      </c>
      <c r="D161" s="26" t="s">
        <v>57</v>
      </c>
      <c r="E161" s="27">
        <v>4</v>
      </c>
      <c r="F161" s="31"/>
      <c r="G161" s="29">
        <f>SUM(G162:G162)</f>
        <v>0</v>
      </c>
      <c r="H161" s="30">
        <f>SUM(H162:H162)</f>
        <v>440</v>
      </c>
      <c r="I161" s="30">
        <f>SUM(I162:I162)</f>
        <v>340.61205</v>
      </c>
      <c r="J161" s="30">
        <f t="shared" si="15"/>
        <v>77.41182954545455</v>
      </c>
    </row>
    <row r="162" spans="1:10" ht="34.5" customHeight="1" outlineLevel="5">
      <c r="A162" s="25" t="s">
        <v>59</v>
      </c>
      <c r="B162" s="26" t="s">
        <v>33</v>
      </c>
      <c r="C162" s="26" t="s">
        <v>132</v>
      </c>
      <c r="D162" s="26" t="s">
        <v>57</v>
      </c>
      <c r="E162" s="27">
        <v>4</v>
      </c>
      <c r="F162" s="31">
        <v>600</v>
      </c>
      <c r="G162" s="29"/>
      <c r="H162" s="30">
        <v>440</v>
      </c>
      <c r="I162" s="30">
        <v>340.61205</v>
      </c>
      <c r="J162" s="30">
        <f t="shared" si="15"/>
        <v>77.41182954545455</v>
      </c>
    </row>
    <row r="163" spans="1:10" ht="141.75" customHeight="1" outlineLevel="5">
      <c r="A163" s="25" t="s">
        <v>134</v>
      </c>
      <c r="B163" s="26" t="s">
        <v>33</v>
      </c>
      <c r="C163" s="26" t="s">
        <v>132</v>
      </c>
      <c r="D163" s="26" t="s">
        <v>135</v>
      </c>
      <c r="E163" s="27">
        <v>0</v>
      </c>
      <c r="F163" s="31"/>
      <c r="G163" s="29">
        <f>SUM(G164:G164)</f>
        <v>0</v>
      </c>
      <c r="H163" s="30">
        <f>SUM(H164:H164)</f>
        <v>48.664</v>
      </c>
      <c r="I163" s="30">
        <f>SUM(I164:I164)</f>
        <v>12</v>
      </c>
      <c r="J163" s="30">
        <f t="shared" si="15"/>
        <v>24.65888541837909</v>
      </c>
    </row>
    <row r="164" spans="1:10" ht="34.5" customHeight="1" outlineLevel="5">
      <c r="A164" s="25" t="s">
        <v>59</v>
      </c>
      <c r="B164" s="26" t="s">
        <v>33</v>
      </c>
      <c r="C164" s="26" t="s">
        <v>132</v>
      </c>
      <c r="D164" s="26" t="s">
        <v>135</v>
      </c>
      <c r="E164" s="27">
        <v>0</v>
      </c>
      <c r="F164" s="31">
        <v>600</v>
      </c>
      <c r="G164" s="29"/>
      <c r="H164" s="30">
        <v>48.664</v>
      </c>
      <c r="I164" s="30">
        <v>12</v>
      </c>
      <c r="J164" s="30">
        <f t="shared" si="15"/>
        <v>24.65888541837909</v>
      </c>
    </row>
    <row r="165" spans="1:10" ht="64.5" customHeight="1" outlineLevel="1">
      <c r="A165" s="25" t="s">
        <v>136</v>
      </c>
      <c r="B165" s="26" t="s">
        <v>33</v>
      </c>
      <c r="C165" s="26" t="s">
        <v>132</v>
      </c>
      <c r="D165" s="26" t="s">
        <v>137</v>
      </c>
      <c r="E165" s="27">
        <v>0</v>
      </c>
      <c r="F165" s="31"/>
      <c r="G165" s="29">
        <f>SUM(G166:G169)</f>
        <v>0</v>
      </c>
      <c r="H165" s="30">
        <f>SUM(H166:H169)</f>
        <v>25818.01661</v>
      </c>
      <c r="I165" s="30">
        <f>SUM(I166:I169)</f>
        <v>22169.61981</v>
      </c>
      <c r="J165" s="30">
        <f t="shared" si="15"/>
        <v>85.86879520951707</v>
      </c>
    </row>
    <row r="166" spans="1:10" ht="39" customHeight="1" outlineLevel="2">
      <c r="A166" s="25" t="s">
        <v>59</v>
      </c>
      <c r="B166" s="26" t="s">
        <v>33</v>
      </c>
      <c r="C166" s="26" t="s">
        <v>132</v>
      </c>
      <c r="D166" s="26" t="s">
        <v>137</v>
      </c>
      <c r="E166" s="27">
        <v>0</v>
      </c>
      <c r="F166" s="31">
        <v>600</v>
      </c>
      <c r="G166" s="29"/>
      <c r="H166" s="30">
        <f>10350+417+400</f>
        <v>11167</v>
      </c>
      <c r="I166" s="30">
        <v>9943.51712</v>
      </c>
      <c r="J166" s="30">
        <f t="shared" si="15"/>
        <v>89.04376394734486</v>
      </c>
    </row>
    <row r="167" spans="1:10" ht="63" outlineLevel="3">
      <c r="A167" s="25" t="s">
        <v>138</v>
      </c>
      <c r="B167" s="26" t="s">
        <v>33</v>
      </c>
      <c r="C167" s="26" t="s">
        <v>132</v>
      </c>
      <c r="D167" s="26" t="s">
        <v>137</v>
      </c>
      <c r="E167" s="27">
        <v>0</v>
      </c>
      <c r="F167" s="31">
        <v>600</v>
      </c>
      <c r="G167" s="29"/>
      <c r="H167" s="30">
        <f>14645.9-132-7.7</f>
        <v>14506.199999999999</v>
      </c>
      <c r="I167" s="30">
        <f>12218.12952-132</f>
        <v>12086.12952</v>
      </c>
      <c r="J167" s="30">
        <f t="shared" si="15"/>
        <v>83.31699218265295</v>
      </c>
    </row>
    <row r="168" spans="1:10" ht="66" customHeight="1" outlineLevel="3">
      <c r="A168" s="25" t="s">
        <v>139</v>
      </c>
      <c r="B168" s="26" t="s">
        <v>33</v>
      </c>
      <c r="C168" s="26" t="s">
        <v>132</v>
      </c>
      <c r="D168" s="26" t="s">
        <v>137</v>
      </c>
      <c r="E168" s="27">
        <v>0</v>
      </c>
      <c r="F168" s="31">
        <v>600</v>
      </c>
      <c r="G168" s="29"/>
      <c r="H168" s="30">
        <v>132</v>
      </c>
      <c r="I168" s="30">
        <v>132</v>
      </c>
      <c r="J168" s="30">
        <f t="shared" si="15"/>
        <v>100</v>
      </c>
    </row>
    <row r="169" spans="1:10" ht="36.75" customHeight="1">
      <c r="A169" s="25" t="s">
        <v>140</v>
      </c>
      <c r="B169" s="26" t="s">
        <v>33</v>
      </c>
      <c r="C169" s="26" t="s">
        <v>132</v>
      </c>
      <c r="D169" s="26" t="s">
        <v>137</v>
      </c>
      <c r="E169" s="27">
        <v>0</v>
      </c>
      <c r="F169" s="31">
        <v>600</v>
      </c>
      <c r="G169" s="29"/>
      <c r="H169" s="30">
        <f>14.6-1.78339</f>
        <v>12.816609999999999</v>
      </c>
      <c r="I169" s="30">
        <v>7.97317</v>
      </c>
      <c r="J169" s="30">
        <f t="shared" si="15"/>
        <v>62.209663865874056</v>
      </c>
    </row>
    <row r="170" spans="1:10" ht="15.75" outlineLevel="5">
      <c r="A170" s="25" t="s">
        <v>141</v>
      </c>
      <c r="B170" s="26" t="s">
        <v>33</v>
      </c>
      <c r="C170" s="26" t="s">
        <v>142</v>
      </c>
      <c r="D170" s="26"/>
      <c r="E170" s="27"/>
      <c r="F170" s="31"/>
      <c r="G170" s="39">
        <f>SUM(G171+G202)</f>
        <v>200</v>
      </c>
      <c r="H170" s="40">
        <f>SUM(H171+H202)</f>
        <v>128137.14902</v>
      </c>
      <c r="I170" s="40">
        <f>SUM(I171+I202)</f>
        <v>98241.64613000001</v>
      </c>
      <c r="J170" s="30">
        <f t="shared" si="15"/>
        <v>76.66913684388761</v>
      </c>
    </row>
    <row r="171" spans="1:10" ht="31.5" outlineLevel="5">
      <c r="A171" s="25" t="s">
        <v>143</v>
      </c>
      <c r="B171" s="26" t="s">
        <v>33</v>
      </c>
      <c r="C171" s="26" t="s">
        <v>142</v>
      </c>
      <c r="D171" s="26"/>
      <c r="E171" s="27"/>
      <c r="F171" s="31"/>
      <c r="G171" s="29">
        <f>SUM(G172+G178+G186+G184+G180)</f>
        <v>200</v>
      </c>
      <c r="H171" s="30">
        <f>SUM(H172+H178+H186+H184+H180)</f>
        <v>120673.58988</v>
      </c>
      <c r="I171" s="30">
        <f>SUM(I172+I178+I186+I184+I180)</f>
        <v>92258.19412</v>
      </c>
      <c r="J171" s="30">
        <f t="shared" si="15"/>
        <v>76.45268050096398</v>
      </c>
    </row>
    <row r="172" spans="1:10" ht="65.25" customHeight="1" outlineLevel="5">
      <c r="A172" s="25" t="s">
        <v>56</v>
      </c>
      <c r="B172" s="26" t="s">
        <v>33</v>
      </c>
      <c r="C172" s="26" t="s">
        <v>142</v>
      </c>
      <c r="D172" s="26" t="s">
        <v>57</v>
      </c>
      <c r="E172" s="27">
        <v>0</v>
      </c>
      <c r="F172" s="31"/>
      <c r="G172" s="29">
        <f>SUM(G173+G175)</f>
        <v>0</v>
      </c>
      <c r="H172" s="30">
        <f>SUM(H173+H175)</f>
        <v>1010</v>
      </c>
      <c r="I172" s="30">
        <f>SUM(I173+I175)</f>
        <v>657.1644</v>
      </c>
      <c r="J172" s="30">
        <f t="shared" si="15"/>
        <v>65.06578217821783</v>
      </c>
    </row>
    <row r="173" spans="1:10" ht="47.25" customHeight="1" outlineLevel="5">
      <c r="A173" s="25" t="s">
        <v>133</v>
      </c>
      <c r="B173" s="26" t="s">
        <v>33</v>
      </c>
      <c r="C173" s="26" t="s">
        <v>142</v>
      </c>
      <c r="D173" s="26" t="s">
        <v>57</v>
      </c>
      <c r="E173" s="27">
        <v>3</v>
      </c>
      <c r="F173" s="31"/>
      <c r="G173" s="29">
        <f>SUM(G174:G174)</f>
        <v>0</v>
      </c>
      <c r="H173" s="30">
        <f>SUM(H174:H174)</f>
        <v>50</v>
      </c>
      <c r="I173" s="30">
        <f>SUM(I174:I174)</f>
        <v>50</v>
      </c>
      <c r="J173" s="30">
        <f t="shared" si="15"/>
        <v>100</v>
      </c>
    </row>
    <row r="174" spans="1:10" ht="42.75" customHeight="1" outlineLevel="5">
      <c r="A174" s="25" t="s">
        <v>59</v>
      </c>
      <c r="B174" s="26" t="s">
        <v>33</v>
      </c>
      <c r="C174" s="26" t="s">
        <v>142</v>
      </c>
      <c r="D174" s="26" t="s">
        <v>57</v>
      </c>
      <c r="E174" s="27">
        <v>3</v>
      </c>
      <c r="F174" s="31">
        <v>600</v>
      </c>
      <c r="G174" s="29"/>
      <c r="H174" s="30">
        <v>50</v>
      </c>
      <c r="I174" s="30">
        <v>50</v>
      </c>
      <c r="J174" s="30">
        <f t="shared" si="15"/>
        <v>100</v>
      </c>
    </row>
    <row r="175" spans="1:10" ht="47.25" outlineLevel="5">
      <c r="A175" s="25" t="s">
        <v>58</v>
      </c>
      <c r="B175" s="26" t="s">
        <v>33</v>
      </c>
      <c r="C175" s="26" t="s">
        <v>142</v>
      </c>
      <c r="D175" s="26" t="s">
        <v>57</v>
      </c>
      <c r="E175" s="27">
        <v>4</v>
      </c>
      <c r="F175" s="31"/>
      <c r="G175" s="29">
        <f>SUM(G176:G177)</f>
        <v>0</v>
      </c>
      <c r="H175" s="30">
        <f>SUM(H176:H177)</f>
        <v>960</v>
      </c>
      <c r="I175" s="30">
        <f>SUM(I176:I177)</f>
        <v>607.1644</v>
      </c>
      <c r="J175" s="30">
        <f t="shared" si="15"/>
        <v>63.246291666666664</v>
      </c>
    </row>
    <row r="176" spans="1:10" ht="31.5" outlineLevel="5">
      <c r="A176" s="25" t="s">
        <v>24</v>
      </c>
      <c r="B176" s="26" t="s">
        <v>33</v>
      </c>
      <c r="C176" s="26" t="s">
        <v>142</v>
      </c>
      <c r="D176" s="26" t="s">
        <v>57</v>
      </c>
      <c r="E176" s="27">
        <v>4</v>
      </c>
      <c r="F176" s="31">
        <v>200</v>
      </c>
      <c r="G176" s="29"/>
      <c r="H176" s="30">
        <f>140-23</f>
        <v>117</v>
      </c>
      <c r="I176" s="30">
        <v>92.836</v>
      </c>
      <c r="J176" s="30">
        <f t="shared" si="15"/>
        <v>79.34700854700854</v>
      </c>
    </row>
    <row r="177" spans="1:10" ht="34.5" customHeight="1" outlineLevel="5">
      <c r="A177" s="25" t="s">
        <v>59</v>
      </c>
      <c r="B177" s="26" t="s">
        <v>33</v>
      </c>
      <c r="C177" s="26" t="s">
        <v>142</v>
      </c>
      <c r="D177" s="26" t="s">
        <v>57</v>
      </c>
      <c r="E177" s="27">
        <v>4</v>
      </c>
      <c r="F177" s="31">
        <v>600</v>
      </c>
      <c r="G177" s="29"/>
      <c r="H177" s="30">
        <f>820+23</f>
        <v>843</v>
      </c>
      <c r="I177" s="30">
        <v>514.3284</v>
      </c>
      <c r="J177" s="30">
        <f t="shared" si="15"/>
        <v>61.01167259786477</v>
      </c>
    </row>
    <row r="178" spans="1:10" ht="66.75" customHeight="1" outlineLevel="5">
      <c r="A178" s="25" t="s">
        <v>144</v>
      </c>
      <c r="B178" s="26" t="s">
        <v>33</v>
      </c>
      <c r="C178" s="26" t="s">
        <v>142</v>
      </c>
      <c r="D178" s="26" t="s">
        <v>145</v>
      </c>
      <c r="E178" s="27">
        <v>0</v>
      </c>
      <c r="F178" s="31"/>
      <c r="G178" s="29">
        <f>SUM(G179)</f>
        <v>0</v>
      </c>
      <c r="H178" s="30">
        <f>SUM(H179)</f>
        <v>100</v>
      </c>
      <c r="I178" s="30">
        <f>SUM(I179)</f>
        <v>0</v>
      </c>
      <c r="J178" s="30">
        <f t="shared" si="15"/>
        <v>0</v>
      </c>
    </row>
    <row r="179" spans="1:10" ht="37.5" customHeight="1" outlineLevel="5">
      <c r="A179" s="25" t="s">
        <v>59</v>
      </c>
      <c r="B179" s="26" t="s">
        <v>33</v>
      </c>
      <c r="C179" s="26" t="s">
        <v>142</v>
      </c>
      <c r="D179" s="26" t="s">
        <v>145</v>
      </c>
      <c r="E179" s="27">
        <v>0</v>
      </c>
      <c r="F179" s="31">
        <v>600</v>
      </c>
      <c r="G179" s="29"/>
      <c r="H179" s="30">
        <v>100</v>
      </c>
      <c r="I179" s="30">
        <v>0</v>
      </c>
      <c r="J179" s="30">
        <f t="shared" si="15"/>
        <v>0</v>
      </c>
    </row>
    <row r="180" spans="1:10" ht="44.25" customHeight="1" outlineLevel="5">
      <c r="A180" s="25" t="s">
        <v>146</v>
      </c>
      <c r="B180" s="26" t="s">
        <v>33</v>
      </c>
      <c r="C180" s="26" t="s">
        <v>142</v>
      </c>
      <c r="D180" s="26" t="s">
        <v>147</v>
      </c>
      <c r="E180" s="27">
        <v>0</v>
      </c>
      <c r="F180" s="31"/>
      <c r="G180" s="29">
        <f>SUM(G181:G183)</f>
        <v>0</v>
      </c>
      <c r="H180" s="30">
        <f>SUM(H181:H183)</f>
        <v>1731.5</v>
      </c>
      <c r="I180" s="30">
        <f>SUM(I181:I183)</f>
        <v>1564.8</v>
      </c>
      <c r="J180" s="30">
        <f t="shared" si="15"/>
        <v>90.37250938492636</v>
      </c>
    </row>
    <row r="181" spans="1:10" ht="47.25" customHeight="1" outlineLevel="5">
      <c r="A181" s="25" t="s">
        <v>148</v>
      </c>
      <c r="B181" s="26" t="s">
        <v>33</v>
      </c>
      <c r="C181" s="26" t="s">
        <v>142</v>
      </c>
      <c r="D181" s="26" t="s">
        <v>147</v>
      </c>
      <c r="E181" s="27">
        <v>0</v>
      </c>
      <c r="F181" s="31">
        <v>600</v>
      </c>
      <c r="G181" s="29"/>
      <c r="H181" s="30">
        <v>165</v>
      </c>
      <c r="I181" s="30">
        <v>165</v>
      </c>
      <c r="J181" s="30">
        <f t="shared" si="15"/>
        <v>100</v>
      </c>
    </row>
    <row r="182" spans="1:10" ht="45" customHeight="1" outlineLevel="5">
      <c r="A182" s="25" t="s">
        <v>149</v>
      </c>
      <c r="B182" s="26" t="s">
        <v>33</v>
      </c>
      <c r="C182" s="26" t="s">
        <v>142</v>
      </c>
      <c r="D182" s="26" t="s">
        <v>147</v>
      </c>
      <c r="E182" s="27">
        <v>0</v>
      </c>
      <c r="F182" s="31">
        <v>600</v>
      </c>
      <c r="G182" s="29"/>
      <c r="H182" s="30">
        <v>166.7</v>
      </c>
      <c r="I182" s="30">
        <v>0</v>
      </c>
      <c r="J182" s="30">
        <f t="shared" si="15"/>
        <v>0</v>
      </c>
    </row>
    <row r="183" spans="1:10" ht="45" customHeight="1" outlineLevel="5">
      <c r="A183" s="25" t="s">
        <v>150</v>
      </c>
      <c r="B183" s="26" t="s">
        <v>33</v>
      </c>
      <c r="C183" s="26" t="s">
        <v>142</v>
      </c>
      <c r="D183" s="26" t="s">
        <v>147</v>
      </c>
      <c r="E183" s="27">
        <v>0</v>
      </c>
      <c r="F183" s="31">
        <v>600</v>
      </c>
      <c r="G183" s="29"/>
      <c r="H183" s="30">
        <v>1399.8</v>
      </c>
      <c r="I183" s="30">
        <v>1399.8</v>
      </c>
      <c r="J183" s="30">
        <f t="shared" si="15"/>
        <v>100</v>
      </c>
    </row>
    <row r="184" spans="1:10" ht="144.75" customHeight="1" outlineLevel="5">
      <c r="A184" s="25" t="s">
        <v>134</v>
      </c>
      <c r="B184" s="26" t="s">
        <v>33</v>
      </c>
      <c r="C184" s="26" t="s">
        <v>142</v>
      </c>
      <c r="D184" s="26" t="s">
        <v>135</v>
      </c>
      <c r="E184" s="27">
        <v>0</v>
      </c>
      <c r="F184" s="31"/>
      <c r="G184" s="29">
        <f>SUM(G185:G185)</f>
        <v>0</v>
      </c>
      <c r="H184" s="30">
        <f>SUM(H185:H185)</f>
        <v>151.736</v>
      </c>
      <c r="I184" s="30">
        <f>SUM(I185:I185)</f>
        <v>60</v>
      </c>
      <c r="J184" s="30">
        <f t="shared" si="15"/>
        <v>39.54236305161597</v>
      </c>
    </row>
    <row r="185" spans="1:10" ht="45.75" customHeight="1" outlineLevel="5">
      <c r="A185" s="25" t="s">
        <v>59</v>
      </c>
      <c r="B185" s="26" t="s">
        <v>33</v>
      </c>
      <c r="C185" s="26" t="s">
        <v>142</v>
      </c>
      <c r="D185" s="26" t="s">
        <v>135</v>
      </c>
      <c r="E185" s="27">
        <v>0</v>
      </c>
      <c r="F185" s="31">
        <v>600</v>
      </c>
      <c r="G185" s="29"/>
      <c r="H185" s="30">
        <v>151.736</v>
      </c>
      <c r="I185" s="30">
        <v>60</v>
      </c>
      <c r="J185" s="30">
        <f t="shared" si="15"/>
        <v>39.54236305161597</v>
      </c>
    </row>
    <row r="186" spans="1:10" ht="54" customHeight="1" outlineLevel="5">
      <c r="A186" s="25" t="s">
        <v>151</v>
      </c>
      <c r="B186" s="26" t="s">
        <v>33</v>
      </c>
      <c r="C186" s="26" t="s">
        <v>142</v>
      </c>
      <c r="D186" s="26" t="s">
        <v>152</v>
      </c>
      <c r="E186" s="27">
        <v>0</v>
      </c>
      <c r="F186" s="43"/>
      <c r="G186" s="39">
        <f>SUM(G187+G192)</f>
        <v>200</v>
      </c>
      <c r="H186" s="40">
        <f>SUM(H187+H192)</f>
        <v>117680.35388</v>
      </c>
      <c r="I186" s="40">
        <f>SUM(I187+I192)</f>
        <v>89976.22972</v>
      </c>
      <c r="J186" s="30">
        <f t="shared" si="15"/>
        <v>76.45815699343477</v>
      </c>
    </row>
    <row r="187" spans="1:10" ht="27" customHeight="1" outlineLevel="5">
      <c r="A187" s="25" t="s">
        <v>153</v>
      </c>
      <c r="B187" s="26" t="s">
        <v>33</v>
      </c>
      <c r="C187" s="26" t="s">
        <v>142</v>
      </c>
      <c r="D187" s="26" t="s">
        <v>152</v>
      </c>
      <c r="E187" s="27">
        <v>0</v>
      </c>
      <c r="F187" s="31"/>
      <c r="G187" s="29">
        <f>SUM(G188:G191)</f>
        <v>200</v>
      </c>
      <c r="H187" s="30">
        <f>SUM(H188:H191)</f>
        <v>12878.800000000001</v>
      </c>
      <c r="I187" s="30">
        <f>SUM(I188:I191)</f>
        <v>10873.12802</v>
      </c>
      <c r="J187" s="30">
        <f t="shared" si="15"/>
        <v>84.42656163617728</v>
      </c>
    </row>
    <row r="188" spans="1:10" ht="81.75" customHeight="1" outlineLevel="5">
      <c r="A188" s="25" t="s">
        <v>23</v>
      </c>
      <c r="B188" s="26" t="s">
        <v>33</v>
      </c>
      <c r="C188" s="26" t="s">
        <v>142</v>
      </c>
      <c r="D188" s="26" t="s">
        <v>152</v>
      </c>
      <c r="E188" s="27">
        <v>0</v>
      </c>
      <c r="F188" s="31">
        <v>100</v>
      </c>
      <c r="G188" s="29"/>
      <c r="H188" s="30">
        <f>43+122.67341+170.32659+150</f>
        <v>486</v>
      </c>
      <c r="I188" s="30">
        <v>351.49945</v>
      </c>
      <c r="J188" s="30">
        <f t="shared" si="15"/>
        <v>72.32498971193417</v>
      </c>
    </row>
    <row r="189" spans="1:10" ht="31.5" outlineLevel="5">
      <c r="A189" s="25" t="s">
        <v>24</v>
      </c>
      <c r="B189" s="26" t="s">
        <v>33</v>
      </c>
      <c r="C189" s="26" t="s">
        <v>142</v>
      </c>
      <c r="D189" s="26" t="s">
        <v>152</v>
      </c>
      <c r="E189" s="27">
        <v>0</v>
      </c>
      <c r="F189" s="31">
        <v>200</v>
      </c>
      <c r="G189" s="29"/>
      <c r="H189" s="30">
        <f>912-122.67341+122.67341</f>
        <v>912</v>
      </c>
      <c r="I189" s="30">
        <v>572.71942</v>
      </c>
      <c r="J189" s="30">
        <f t="shared" si="15"/>
        <v>62.79818201754386</v>
      </c>
    </row>
    <row r="190" spans="1:10" ht="15.75" outlineLevel="5">
      <c r="A190" s="25" t="s">
        <v>27</v>
      </c>
      <c r="B190" s="26" t="s">
        <v>33</v>
      </c>
      <c r="C190" s="26" t="s">
        <v>142</v>
      </c>
      <c r="D190" s="26" t="s">
        <v>152</v>
      </c>
      <c r="E190" s="27">
        <v>0</v>
      </c>
      <c r="F190" s="31">
        <v>800</v>
      </c>
      <c r="G190" s="29"/>
      <c r="H190" s="30">
        <v>64.2</v>
      </c>
      <c r="I190" s="30">
        <v>32.3501</v>
      </c>
      <c r="J190" s="30">
        <f t="shared" si="15"/>
        <v>50.38956386292834</v>
      </c>
    </row>
    <row r="191" spans="1:10" ht="33" customHeight="1" outlineLevel="5">
      <c r="A191" s="25" t="s">
        <v>59</v>
      </c>
      <c r="B191" s="26" t="s">
        <v>33</v>
      </c>
      <c r="C191" s="26" t="s">
        <v>142</v>
      </c>
      <c r="D191" s="26" t="s">
        <v>152</v>
      </c>
      <c r="E191" s="27">
        <v>0</v>
      </c>
      <c r="F191" s="31">
        <v>600</v>
      </c>
      <c r="G191" s="29">
        <f>200</f>
        <v>200</v>
      </c>
      <c r="H191" s="30">
        <f>10676.6+290+250+200</f>
        <v>11416.6</v>
      </c>
      <c r="I191" s="30">
        <v>9916.55905</v>
      </c>
      <c r="J191" s="30">
        <f t="shared" si="15"/>
        <v>86.86087845768442</v>
      </c>
    </row>
    <row r="192" spans="1:10" s="44" customFormat="1" ht="15.75" outlineLevel="2">
      <c r="A192" s="25" t="s">
        <v>154</v>
      </c>
      <c r="B192" s="26" t="s">
        <v>33</v>
      </c>
      <c r="C192" s="26" t="s">
        <v>142</v>
      </c>
      <c r="D192" s="26" t="s">
        <v>152</v>
      </c>
      <c r="E192" s="27">
        <v>0</v>
      </c>
      <c r="F192" s="31"/>
      <c r="G192" s="29">
        <f>SUM(G193:G201)</f>
        <v>0</v>
      </c>
      <c r="H192" s="30">
        <f>SUM(H193:H201)</f>
        <v>104801.55387999999</v>
      </c>
      <c r="I192" s="30">
        <f>SUM(I193:I201)</f>
        <v>79103.1017</v>
      </c>
      <c r="J192" s="30">
        <f t="shared" si="15"/>
        <v>75.478939740316</v>
      </c>
    </row>
    <row r="193" spans="1:10" ht="86.25" customHeight="1" outlineLevel="3">
      <c r="A193" s="25" t="s">
        <v>23</v>
      </c>
      <c r="B193" s="26" t="s">
        <v>33</v>
      </c>
      <c r="C193" s="26" t="s">
        <v>142</v>
      </c>
      <c r="D193" s="26" t="s">
        <v>152</v>
      </c>
      <c r="E193" s="27">
        <v>0</v>
      </c>
      <c r="F193" s="31">
        <v>100</v>
      </c>
      <c r="G193" s="29"/>
      <c r="H193" s="30">
        <f>3873+1214-280.78433+260.8</f>
        <v>5067.01567</v>
      </c>
      <c r="I193" s="30">
        <v>3401.37357</v>
      </c>
      <c r="J193" s="30">
        <f t="shared" si="15"/>
        <v>67.1277491825874</v>
      </c>
    </row>
    <row r="194" spans="1:10" ht="69" customHeight="1" outlineLevel="3">
      <c r="A194" s="25" t="s">
        <v>155</v>
      </c>
      <c r="B194" s="26" t="s">
        <v>33</v>
      </c>
      <c r="C194" s="26" t="s">
        <v>142</v>
      </c>
      <c r="D194" s="26" t="s">
        <v>152</v>
      </c>
      <c r="E194" s="27">
        <v>0</v>
      </c>
      <c r="F194" s="31">
        <v>100</v>
      </c>
      <c r="G194" s="29"/>
      <c r="H194" s="30">
        <v>280.78433</v>
      </c>
      <c r="I194" s="30">
        <v>280.78433</v>
      </c>
      <c r="J194" s="30">
        <f t="shared" si="15"/>
        <v>100</v>
      </c>
    </row>
    <row r="195" spans="1:10" ht="31.5" outlineLevel="3">
      <c r="A195" s="25" t="s">
        <v>24</v>
      </c>
      <c r="B195" s="26" t="s">
        <v>33</v>
      </c>
      <c r="C195" s="26" t="s">
        <v>142</v>
      </c>
      <c r="D195" s="26" t="s">
        <v>152</v>
      </c>
      <c r="E195" s="27">
        <v>0</v>
      </c>
      <c r="F195" s="31">
        <v>200</v>
      </c>
      <c r="G195" s="29"/>
      <c r="H195" s="30">
        <f>39.2+85.8+61+9.9</f>
        <v>195.9</v>
      </c>
      <c r="I195" s="30">
        <v>109.34</v>
      </c>
      <c r="J195" s="30">
        <f t="shared" si="15"/>
        <v>55.8141909137315</v>
      </c>
    </row>
    <row r="196" spans="1:10" ht="20.25" customHeight="1" outlineLevel="3">
      <c r="A196" s="25" t="s">
        <v>156</v>
      </c>
      <c r="B196" s="26" t="s">
        <v>33</v>
      </c>
      <c r="C196" s="26" t="s">
        <v>142</v>
      </c>
      <c r="D196" s="26" t="s">
        <v>152</v>
      </c>
      <c r="E196" s="27">
        <v>0</v>
      </c>
      <c r="F196" s="31">
        <v>200</v>
      </c>
      <c r="G196" s="29"/>
      <c r="H196" s="30">
        <f>38.3+12+13</f>
        <v>63.3</v>
      </c>
      <c r="I196" s="30">
        <v>51.79228</v>
      </c>
      <c r="J196" s="30">
        <f t="shared" si="15"/>
        <v>81.8203475513428</v>
      </c>
    </row>
    <row r="197" spans="1:10" ht="31.5" outlineLevel="3">
      <c r="A197" s="25" t="s">
        <v>157</v>
      </c>
      <c r="B197" s="26" t="s">
        <v>33</v>
      </c>
      <c r="C197" s="26" t="s">
        <v>142</v>
      </c>
      <c r="D197" s="26" t="s">
        <v>152</v>
      </c>
      <c r="E197" s="27">
        <v>0</v>
      </c>
      <c r="F197" s="31">
        <v>600</v>
      </c>
      <c r="G197" s="29"/>
      <c r="H197" s="30">
        <f>99600.2-1299.8-2086.91567-284.95-693.7-61-260.8-431.5+254.15</f>
        <v>94735.68432999999</v>
      </c>
      <c r="I197" s="30">
        <v>71510.00694</v>
      </c>
      <c r="J197" s="30">
        <f t="shared" si="15"/>
        <v>75.48370758678828</v>
      </c>
    </row>
    <row r="198" spans="1:10" ht="65.25" customHeight="1" outlineLevel="3">
      <c r="A198" s="25" t="s">
        <v>139</v>
      </c>
      <c r="B198" s="26" t="s">
        <v>33</v>
      </c>
      <c r="C198" s="26" t="s">
        <v>142</v>
      </c>
      <c r="D198" s="26" t="s">
        <v>152</v>
      </c>
      <c r="E198" s="27">
        <v>0</v>
      </c>
      <c r="F198" s="31">
        <v>600</v>
      </c>
      <c r="G198" s="29"/>
      <c r="H198" s="30">
        <v>2086.91567</v>
      </c>
      <c r="I198" s="30">
        <v>2086.91567</v>
      </c>
      <c r="J198" s="30">
        <f t="shared" si="15"/>
        <v>100</v>
      </c>
    </row>
    <row r="199" spans="1:10" ht="22.5" customHeight="1" outlineLevel="3">
      <c r="A199" s="25" t="s">
        <v>156</v>
      </c>
      <c r="B199" s="26" t="s">
        <v>33</v>
      </c>
      <c r="C199" s="26" t="s">
        <v>142</v>
      </c>
      <c r="D199" s="26" t="s">
        <v>152</v>
      </c>
      <c r="E199" s="27">
        <v>0</v>
      </c>
      <c r="F199" s="31">
        <v>600</v>
      </c>
      <c r="G199" s="29"/>
      <c r="H199" s="30">
        <f>1665.7-12+363.9</f>
        <v>2017.6</v>
      </c>
      <c r="I199" s="30">
        <v>1633.9663</v>
      </c>
      <c r="J199" s="30">
        <f t="shared" si="15"/>
        <v>80.98564135606662</v>
      </c>
    </row>
    <row r="200" spans="1:10" ht="39" customHeight="1" outlineLevel="3">
      <c r="A200" s="25" t="s">
        <v>140</v>
      </c>
      <c r="B200" s="26" t="s">
        <v>33</v>
      </c>
      <c r="C200" s="26" t="s">
        <v>142</v>
      </c>
      <c r="D200" s="26" t="s">
        <v>152</v>
      </c>
      <c r="E200" s="27">
        <v>0</v>
      </c>
      <c r="F200" s="31">
        <v>600</v>
      </c>
      <c r="G200" s="29"/>
      <c r="H200" s="30">
        <f>33.7+35.70388</f>
        <v>69.40388</v>
      </c>
      <c r="I200" s="30">
        <v>28.92261</v>
      </c>
      <c r="J200" s="30">
        <f t="shared" si="15"/>
        <v>41.672900708144844</v>
      </c>
    </row>
    <row r="201" spans="1:10" ht="36.75" customHeight="1" outlineLevel="3">
      <c r="A201" s="25" t="s">
        <v>158</v>
      </c>
      <c r="B201" s="26" t="s">
        <v>33</v>
      </c>
      <c r="C201" s="26" t="s">
        <v>142</v>
      </c>
      <c r="D201" s="26" t="s">
        <v>152</v>
      </c>
      <c r="E201" s="27">
        <v>0</v>
      </c>
      <c r="F201" s="31">
        <v>600</v>
      </c>
      <c r="G201" s="29"/>
      <c r="H201" s="30">
        <f>284.95</f>
        <v>284.95</v>
      </c>
      <c r="I201" s="30">
        <v>0</v>
      </c>
      <c r="J201" s="30">
        <f t="shared" si="15"/>
        <v>0</v>
      </c>
    </row>
    <row r="202" spans="1:10" ht="22.5" customHeight="1" outlineLevel="1">
      <c r="A202" s="25" t="s">
        <v>159</v>
      </c>
      <c r="B202" s="26" t="s">
        <v>33</v>
      </c>
      <c r="C202" s="26" t="s">
        <v>142</v>
      </c>
      <c r="D202" s="26"/>
      <c r="E202" s="27"/>
      <c r="F202" s="31"/>
      <c r="G202" s="29">
        <f>SUM(G203+G205)</f>
        <v>0</v>
      </c>
      <c r="H202" s="30">
        <f>SUM(H203+H205)</f>
        <v>7463.559139999999</v>
      </c>
      <c r="I202" s="30">
        <f>SUM(I203+I205)</f>
        <v>5983.452010000001</v>
      </c>
      <c r="J202" s="30">
        <f aca="true" t="shared" si="17" ref="J202:J265">SUM(I202/H202)*100</f>
        <v>80.16888320657162</v>
      </c>
    </row>
    <row r="203" spans="1:10" ht="73.5" customHeight="1" outlineLevel="3">
      <c r="A203" s="25" t="s">
        <v>160</v>
      </c>
      <c r="B203" s="26" t="s">
        <v>33</v>
      </c>
      <c r="C203" s="26" t="s">
        <v>142</v>
      </c>
      <c r="D203" s="26" t="s">
        <v>161</v>
      </c>
      <c r="E203" s="27">
        <v>0</v>
      </c>
      <c r="F203" s="31"/>
      <c r="G203" s="29">
        <f>SUM(G204:G204)</f>
        <v>0</v>
      </c>
      <c r="H203" s="30">
        <f>SUM(H204:H204)</f>
        <v>3851</v>
      </c>
      <c r="I203" s="30">
        <f>SUM(I204:I204)</f>
        <v>3507.20055</v>
      </c>
      <c r="J203" s="30">
        <f t="shared" si="17"/>
        <v>91.07246299662425</v>
      </c>
    </row>
    <row r="204" spans="1:10" ht="39" customHeight="1" outlineLevel="3">
      <c r="A204" s="25" t="s">
        <v>59</v>
      </c>
      <c r="B204" s="26" t="s">
        <v>33</v>
      </c>
      <c r="C204" s="26" t="s">
        <v>142</v>
      </c>
      <c r="D204" s="26" t="s">
        <v>161</v>
      </c>
      <c r="E204" s="27">
        <v>0</v>
      </c>
      <c r="F204" s="31">
        <v>600</v>
      </c>
      <c r="G204" s="29"/>
      <c r="H204" s="30">
        <f>3651+200</f>
        <v>3851</v>
      </c>
      <c r="I204" s="30">
        <v>3507.20055</v>
      </c>
      <c r="J204" s="30">
        <f t="shared" si="17"/>
        <v>91.07246299662425</v>
      </c>
    </row>
    <row r="205" spans="1:10" ht="63.75" customHeight="1" outlineLevel="3">
      <c r="A205" s="25" t="s">
        <v>162</v>
      </c>
      <c r="B205" s="26" t="s">
        <v>33</v>
      </c>
      <c r="C205" s="26" t="s">
        <v>142</v>
      </c>
      <c r="D205" s="26" t="s">
        <v>163</v>
      </c>
      <c r="E205" s="27">
        <v>0</v>
      </c>
      <c r="F205" s="31"/>
      <c r="G205" s="29">
        <f>SUM(G206:G207)</f>
        <v>0</v>
      </c>
      <c r="H205" s="30">
        <f>SUM(H206:H207)</f>
        <v>3612.55914</v>
      </c>
      <c r="I205" s="30">
        <f>SUM(I206:I207)</f>
        <v>2476.2514600000004</v>
      </c>
      <c r="J205" s="30">
        <f t="shared" si="17"/>
        <v>68.54563106197344</v>
      </c>
    </row>
    <row r="206" spans="1:10" ht="36.75" customHeight="1" outlineLevel="3">
      <c r="A206" s="25" t="s">
        <v>59</v>
      </c>
      <c r="B206" s="26" t="s">
        <v>33</v>
      </c>
      <c r="C206" s="26" t="s">
        <v>142</v>
      </c>
      <c r="D206" s="26" t="s">
        <v>163</v>
      </c>
      <c r="E206" s="27">
        <v>0</v>
      </c>
      <c r="F206" s="31">
        <v>600</v>
      </c>
      <c r="G206" s="29"/>
      <c r="H206" s="30">
        <f>3600+0.899</f>
        <v>3600.899</v>
      </c>
      <c r="I206" s="30">
        <v>2466.48678</v>
      </c>
      <c r="J206" s="30">
        <f t="shared" si="17"/>
        <v>68.49641658930173</v>
      </c>
    </row>
    <row r="207" spans="1:10" ht="36.75" customHeight="1" outlineLevel="3">
      <c r="A207" s="25" t="s">
        <v>140</v>
      </c>
      <c r="B207" s="26" t="s">
        <v>33</v>
      </c>
      <c r="C207" s="26" t="s">
        <v>142</v>
      </c>
      <c r="D207" s="26" t="s">
        <v>163</v>
      </c>
      <c r="E207" s="27">
        <v>0</v>
      </c>
      <c r="F207" s="31">
        <v>600</v>
      </c>
      <c r="G207" s="29"/>
      <c r="H207" s="30">
        <f>14.6-2.93986</f>
        <v>11.66014</v>
      </c>
      <c r="I207" s="30">
        <v>9.76468</v>
      </c>
      <c r="J207" s="30">
        <f t="shared" si="17"/>
        <v>83.74410598843582</v>
      </c>
    </row>
    <row r="208" spans="1:10" ht="18.75" customHeight="1" outlineLevel="1">
      <c r="A208" s="38" t="s">
        <v>164</v>
      </c>
      <c r="B208" s="26" t="s">
        <v>33</v>
      </c>
      <c r="C208" s="26" t="s">
        <v>165</v>
      </c>
      <c r="D208" s="26" t="s">
        <v>15</v>
      </c>
      <c r="E208" s="27" t="s">
        <v>15</v>
      </c>
      <c r="F208" s="31"/>
      <c r="G208" s="29">
        <f>SUM(G209+G216+G218+G220+G223)</f>
        <v>0</v>
      </c>
      <c r="H208" s="30">
        <f>SUM(H209+H216+H218+H220+H223)</f>
        <v>6159.423000000001</v>
      </c>
      <c r="I208" s="30">
        <f>SUM(I209+I216+I218+I220+I223)</f>
        <v>5023.20217</v>
      </c>
      <c r="J208" s="30">
        <f t="shared" si="17"/>
        <v>81.55312875897627</v>
      </c>
    </row>
    <row r="209" spans="1:10" ht="92.25" customHeight="1" outlineLevel="1">
      <c r="A209" s="38" t="s">
        <v>166</v>
      </c>
      <c r="B209" s="26" t="s">
        <v>33</v>
      </c>
      <c r="C209" s="26" t="s">
        <v>165</v>
      </c>
      <c r="D209" s="26" t="s">
        <v>167</v>
      </c>
      <c r="E209" s="27">
        <v>0</v>
      </c>
      <c r="F209" s="31"/>
      <c r="G209" s="29">
        <f>SUM(G210+G212+G214)</f>
        <v>0</v>
      </c>
      <c r="H209" s="30">
        <f>SUM(H210+H212+H214)</f>
        <v>300</v>
      </c>
      <c r="I209" s="30">
        <f>SUM(I210+I212+I214)</f>
        <v>245.78905</v>
      </c>
      <c r="J209" s="30">
        <f t="shared" si="17"/>
        <v>81.92968333333333</v>
      </c>
    </row>
    <row r="210" spans="1:10" ht="32.25" customHeight="1" outlineLevel="1">
      <c r="A210" s="25" t="s">
        <v>168</v>
      </c>
      <c r="B210" s="26" t="s">
        <v>33</v>
      </c>
      <c r="C210" s="26" t="s">
        <v>165</v>
      </c>
      <c r="D210" s="26" t="s">
        <v>167</v>
      </c>
      <c r="E210" s="27">
        <v>1</v>
      </c>
      <c r="F210" s="31"/>
      <c r="G210" s="29">
        <f>SUM(G211)</f>
        <v>0</v>
      </c>
      <c r="H210" s="30">
        <f>SUM(H211)</f>
        <v>41.0505</v>
      </c>
      <c r="I210" s="30">
        <f>SUM(I211)</f>
        <v>41.0505</v>
      </c>
      <c r="J210" s="30">
        <f t="shared" si="17"/>
        <v>100</v>
      </c>
    </row>
    <row r="211" spans="1:10" ht="33.75" customHeight="1" outlineLevel="1">
      <c r="A211" s="25" t="s">
        <v>24</v>
      </c>
      <c r="B211" s="26" t="s">
        <v>33</v>
      </c>
      <c r="C211" s="26" t="s">
        <v>165</v>
      </c>
      <c r="D211" s="26" t="s">
        <v>167</v>
      </c>
      <c r="E211" s="27">
        <v>1</v>
      </c>
      <c r="F211" s="31">
        <v>200</v>
      </c>
      <c r="G211" s="29"/>
      <c r="H211" s="30">
        <f>50-8.9495</f>
        <v>41.0505</v>
      </c>
      <c r="I211" s="30">
        <v>41.0505</v>
      </c>
      <c r="J211" s="30">
        <f t="shared" si="17"/>
        <v>100</v>
      </c>
    </row>
    <row r="212" spans="1:10" ht="39.75" customHeight="1" outlineLevel="1">
      <c r="A212" s="25" t="s">
        <v>169</v>
      </c>
      <c r="B212" s="26" t="s">
        <v>33</v>
      </c>
      <c r="C212" s="26" t="s">
        <v>165</v>
      </c>
      <c r="D212" s="26" t="s">
        <v>167</v>
      </c>
      <c r="E212" s="27">
        <v>2</v>
      </c>
      <c r="F212" s="31"/>
      <c r="G212" s="29">
        <f>SUM(G213)</f>
        <v>0</v>
      </c>
      <c r="H212" s="30">
        <f>SUM(H213)</f>
        <v>218.9495</v>
      </c>
      <c r="I212" s="30">
        <f>SUM(I213)</f>
        <v>194.73855</v>
      </c>
      <c r="J212" s="30">
        <f t="shared" si="17"/>
        <v>88.94222183654222</v>
      </c>
    </row>
    <row r="213" spans="1:10" ht="33" customHeight="1" outlineLevel="1">
      <c r="A213" s="25" t="s">
        <v>24</v>
      </c>
      <c r="B213" s="26" t="s">
        <v>33</v>
      </c>
      <c r="C213" s="26" t="s">
        <v>165</v>
      </c>
      <c r="D213" s="26" t="s">
        <v>167</v>
      </c>
      <c r="E213" s="27">
        <v>2</v>
      </c>
      <c r="F213" s="31">
        <v>200</v>
      </c>
      <c r="G213" s="29"/>
      <c r="H213" s="30">
        <f>200+18.9495</f>
        <v>218.9495</v>
      </c>
      <c r="I213" s="30">
        <v>194.73855</v>
      </c>
      <c r="J213" s="30">
        <f t="shared" si="17"/>
        <v>88.94222183654222</v>
      </c>
    </row>
    <row r="214" spans="1:10" ht="46.5" customHeight="1" outlineLevel="1">
      <c r="A214" s="25" t="s">
        <v>170</v>
      </c>
      <c r="B214" s="26" t="s">
        <v>33</v>
      </c>
      <c r="C214" s="26" t="s">
        <v>165</v>
      </c>
      <c r="D214" s="26" t="s">
        <v>167</v>
      </c>
      <c r="E214" s="27">
        <v>3</v>
      </c>
      <c r="F214" s="31"/>
      <c r="G214" s="29">
        <f>SUM(G215)</f>
        <v>0</v>
      </c>
      <c r="H214" s="30">
        <f>SUM(H215)</f>
        <v>40</v>
      </c>
      <c r="I214" s="30">
        <f>SUM(I215)</f>
        <v>10</v>
      </c>
      <c r="J214" s="30">
        <f t="shared" si="17"/>
        <v>25</v>
      </c>
    </row>
    <row r="215" spans="1:10" ht="34.5" customHeight="1" outlineLevel="1">
      <c r="A215" s="25" t="s">
        <v>24</v>
      </c>
      <c r="B215" s="26" t="s">
        <v>33</v>
      </c>
      <c r="C215" s="26" t="s">
        <v>165</v>
      </c>
      <c r="D215" s="26" t="s">
        <v>167</v>
      </c>
      <c r="E215" s="27">
        <v>3</v>
      </c>
      <c r="F215" s="31">
        <v>200</v>
      </c>
      <c r="G215" s="29"/>
      <c r="H215" s="30">
        <f>50-10</f>
        <v>40</v>
      </c>
      <c r="I215" s="30">
        <v>10</v>
      </c>
      <c r="J215" s="30">
        <f t="shared" si="17"/>
        <v>25</v>
      </c>
    </row>
    <row r="216" spans="1:10" ht="55.5" customHeight="1" outlineLevel="1">
      <c r="A216" s="25" t="s">
        <v>171</v>
      </c>
      <c r="B216" s="26" t="s">
        <v>33</v>
      </c>
      <c r="C216" s="26" t="s">
        <v>165</v>
      </c>
      <c r="D216" s="26" t="s">
        <v>172</v>
      </c>
      <c r="E216" s="27">
        <v>0</v>
      </c>
      <c r="F216" s="31"/>
      <c r="G216" s="29">
        <f>SUM(G217)</f>
        <v>0</v>
      </c>
      <c r="H216" s="30">
        <f>SUM(H217)</f>
        <v>398.223</v>
      </c>
      <c r="I216" s="30">
        <f>SUM(I217)</f>
        <v>398.223</v>
      </c>
      <c r="J216" s="30">
        <f t="shared" si="17"/>
        <v>100</v>
      </c>
    </row>
    <row r="217" spans="1:10" ht="34.5" customHeight="1" outlineLevel="1">
      <c r="A217" s="25" t="s">
        <v>24</v>
      </c>
      <c r="B217" s="26" t="s">
        <v>33</v>
      </c>
      <c r="C217" s="26" t="s">
        <v>165</v>
      </c>
      <c r="D217" s="26" t="s">
        <v>172</v>
      </c>
      <c r="E217" s="27">
        <v>0</v>
      </c>
      <c r="F217" s="31">
        <v>200</v>
      </c>
      <c r="G217" s="29"/>
      <c r="H217" s="30">
        <f>200+198.223</f>
        <v>398.223</v>
      </c>
      <c r="I217" s="30">
        <v>398.223</v>
      </c>
      <c r="J217" s="30">
        <f t="shared" si="17"/>
        <v>100</v>
      </c>
    </row>
    <row r="218" spans="1:10" ht="55.5" customHeight="1" outlineLevel="3">
      <c r="A218" s="38" t="s">
        <v>173</v>
      </c>
      <c r="B218" s="26" t="s">
        <v>33</v>
      </c>
      <c r="C218" s="26" t="s">
        <v>165</v>
      </c>
      <c r="D218" s="26" t="s">
        <v>174</v>
      </c>
      <c r="E218" s="27">
        <v>0</v>
      </c>
      <c r="F218" s="31"/>
      <c r="G218" s="29">
        <f>SUM(G219)</f>
        <v>0</v>
      </c>
      <c r="H218" s="30">
        <f>SUM(H219)</f>
        <v>2500</v>
      </c>
      <c r="I218" s="30">
        <f>SUM(I219)</f>
        <v>2093.36631</v>
      </c>
      <c r="J218" s="30">
        <f t="shared" si="17"/>
        <v>83.7346524</v>
      </c>
    </row>
    <row r="219" spans="1:10" ht="39.75" customHeight="1" outlineLevel="3">
      <c r="A219" s="25" t="s">
        <v>59</v>
      </c>
      <c r="B219" s="26" t="s">
        <v>33</v>
      </c>
      <c r="C219" s="26" t="s">
        <v>165</v>
      </c>
      <c r="D219" s="26" t="s">
        <v>174</v>
      </c>
      <c r="E219" s="27">
        <v>0</v>
      </c>
      <c r="F219" s="31">
        <v>600</v>
      </c>
      <c r="G219" s="29"/>
      <c r="H219" s="30">
        <v>2500</v>
      </c>
      <c r="I219" s="30">
        <v>2093.36631</v>
      </c>
      <c r="J219" s="30">
        <f t="shared" si="17"/>
        <v>83.7346524</v>
      </c>
    </row>
    <row r="220" spans="1:10" s="44" customFormat="1" ht="78.75" customHeight="1" outlineLevel="2">
      <c r="A220" s="38" t="s">
        <v>175</v>
      </c>
      <c r="B220" s="26" t="s">
        <v>33</v>
      </c>
      <c r="C220" s="26" t="s">
        <v>165</v>
      </c>
      <c r="D220" s="26" t="s">
        <v>176</v>
      </c>
      <c r="E220" s="27">
        <v>0</v>
      </c>
      <c r="F220" s="31"/>
      <c r="G220" s="29">
        <f>SUM(G221:G222)</f>
        <v>0</v>
      </c>
      <c r="H220" s="30">
        <f>SUM(H221:H222)</f>
        <v>1600</v>
      </c>
      <c r="I220" s="30">
        <f>SUM(I221:I222)</f>
        <v>1205.47381</v>
      </c>
      <c r="J220" s="30">
        <f t="shared" si="17"/>
        <v>75.342113125</v>
      </c>
    </row>
    <row r="221" spans="1:10" s="44" customFormat="1" ht="47.25" outlineLevel="2">
      <c r="A221" s="25" t="s">
        <v>59</v>
      </c>
      <c r="B221" s="26" t="s">
        <v>33</v>
      </c>
      <c r="C221" s="26" t="s">
        <v>165</v>
      </c>
      <c r="D221" s="26" t="s">
        <v>176</v>
      </c>
      <c r="E221" s="27">
        <v>0</v>
      </c>
      <c r="F221" s="31">
        <v>600</v>
      </c>
      <c r="G221" s="29"/>
      <c r="H221" s="30">
        <v>1600</v>
      </c>
      <c r="I221" s="30">
        <v>1205.47381</v>
      </c>
      <c r="J221" s="30">
        <f t="shared" si="17"/>
        <v>75.342113125</v>
      </c>
    </row>
    <row r="222" spans="1:10" s="44" customFormat="1" ht="54.75" customHeight="1" outlineLevel="2">
      <c r="A222" s="38" t="s">
        <v>177</v>
      </c>
      <c r="B222" s="26" t="s">
        <v>33</v>
      </c>
      <c r="C222" s="26" t="s">
        <v>165</v>
      </c>
      <c r="D222" s="26" t="s">
        <v>176</v>
      </c>
      <c r="E222" s="27">
        <v>0</v>
      </c>
      <c r="F222" s="31">
        <v>600</v>
      </c>
      <c r="G222" s="29"/>
      <c r="H222" s="30">
        <v>0</v>
      </c>
      <c r="I222" s="30">
        <v>0</v>
      </c>
      <c r="J222" s="30">
        <v>0</v>
      </c>
    </row>
    <row r="223" spans="1:10" s="44" customFormat="1" ht="33.75" customHeight="1" outlineLevel="2">
      <c r="A223" s="38" t="s">
        <v>178</v>
      </c>
      <c r="B223" s="26" t="s">
        <v>33</v>
      </c>
      <c r="C223" s="26" t="s">
        <v>165</v>
      </c>
      <c r="D223" s="26" t="s">
        <v>26</v>
      </c>
      <c r="E223" s="27">
        <v>0</v>
      </c>
      <c r="F223" s="31"/>
      <c r="G223" s="29">
        <f>SUM(G224)</f>
        <v>0</v>
      </c>
      <c r="H223" s="30">
        <f>SUM(H224)</f>
        <v>1361.2000000000003</v>
      </c>
      <c r="I223" s="30">
        <f>SUM(I224)</f>
        <v>1080.35</v>
      </c>
      <c r="J223" s="30">
        <f t="shared" si="17"/>
        <v>79.36746987951805</v>
      </c>
    </row>
    <row r="224" spans="1:10" s="44" customFormat="1" ht="47.25" outlineLevel="2">
      <c r="A224" s="25" t="s">
        <v>25</v>
      </c>
      <c r="B224" s="26" t="s">
        <v>33</v>
      </c>
      <c r="C224" s="26" t="s">
        <v>165</v>
      </c>
      <c r="D224" s="26" t="s">
        <v>26</v>
      </c>
      <c r="E224" s="27">
        <v>0</v>
      </c>
      <c r="F224" s="31"/>
      <c r="G224" s="29">
        <f>SUM(G225:G226)</f>
        <v>0</v>
      </c>
      <c r="H224" s="30">
        <f>SUM(H225:H226)</f>
        <v>1361.2000000000003</v>
      </c>
      <c r="I224" s="30">
        <f>SUM(I225:I226)</f>
        <v>1080.35</v>
      </c>
      <c r="J224" s="30">
        <f t="shared" si="17"/>
        <v>79.36746987951805</v>
      </c>
    </row>
    <row r="225" spans="1:10" s="44" customFormat="1" ht="51.75" customHeight="1" outlineLevel="2">
      <c r="A225" s="38" t="s">
        <v>179</v>
      </c>
      <c r="B225" s="26" t="s">
        <v>33</v>
      </c>
      <c r="C225" s="26" t="s">
        <v>165</v>
      </c>
      <c r="D225" s="26" t="s">
        <v>26</v>
      </c>
      <c r="E225" s="27">
        <v>0</v>
      </c>
      <c r="F225" s="31">
        <v>600</v>
      </c>
      <c r="G225" s="29"/>
      <c r="H225" s="30">
        <f>506.6+789.7</f>
        <v>1296.3000000000002</v>
      </c>
      <c r="I225" s="30">
        <v>1080.35</v>
      </c>
      <c r="J225" s="30">
        <f t="shared" si="17"/>
        <v>83.34104759700685</v>
      </c>
    </row>
    <row r="226" spans="1:10" s="44" customFormat="1" ht="35.25" customHeight="1" outlineLevel="2">
      <c r="A226" s="25" t="s">
        <v>59</v>
      </c>
      <c r="B226" s="26" t="s">
        <v>33</v>
      </c>
      <c r="C226" s="26" t="s">
        <v>165</v>
      </c>
      <c r="D226" s="26" t="s">
        <v>26</v>
      </c>
      <c r="E226" s="27">
        <v>0</v>
      </c>
      <c r="F226" s="31">
        <v>600</v>
      </c>
      <c r="G226" s="29"/>
      <c r="H226" s="30">
        <f>25.4+39.5</f>
        <v>64.9</v>
      </c>
      <c r="I226" s="30">
        <v>0</v>
      </c>
      <c r="J226" s="30">
        <f t="shared" si="17"/>
        <v>0</v>
      </c>
    </row>
    <row r="227" spans="1:10" s="44" customFormat="1" ht="15.75" outlineLevel="2">
      <c r="A227" s="25" t="s">
        <v>180</v>
      </c>
      <c r="B227" s="26" t="s">
        <v>33</v>
      </c>
      <c r="C227" s="26" t="s">
        <v>181</v>
      </c>
      <c r="D227" s="26"/>
      <c r="E227" s="27"/>
      <c r="F227" s="31"/>
      <c r="G227" s="29">
        <f>SUM(G230+G228)</f>
        <v>0</v>
      </c>
      <c r="H227" s="30">
        <f>SUM(H230+H228)</f>
        <v>800.85</v>
      </c>
      <c r="I227" s="30">
        <f>SUM(I230+I228)</f>
        <v>659.05642</v>
      </c>
      <c r="J227" s="30">
        <f t="shared" si="17"/>
        <v>82.29461447212336</v>
      </c>
    </row>
    <row r="228" spans="1:10" s="44" customFormat="1" ht="110.25" outlineLevel="2">
      <c r="A228" s="25" t="s">
        <v>182</v>
      </c>
      <c r="B228" s="26" t="s">
        <v>33</v>
      </c>
      <c r="C228" s="26" t="s">
        <v>181</v>
      </c>
      <c r="D228" s="26" t="s">
        <v>183</v>
      </c>
      <c r="E228" s="27">
        <v>0</v>
      </c>
      <c r="F228" s="42"/>
      <c r="G228" s="29">
        <f>SUM(G229)</f>
        <v>0</v>
      </c>
      <c r="H228" s="30">
        <f>SUM(H229)</f>
        <v>160</v>
      </c>
      <c r="I228" s="30">
        <f>SUM(I229)</f>
        <v>140</v>
      </c>
      <c r="J228" s="30">
        <f t="shared" si="17"/>
        <v>87.5</v>
      </c>
    </row>
    <row r="229" spans="1:10" s="44" customFormat="1" ht="27" customHeight="1" outlineLevel="2">
      <c r="A229" s="25" t="s">
        <v>104</v>
      </c>
      <c r="B229" s="26" t="s">
        <v>33</v>
      </c>
      <c r="C229" s="26" t="s">
        <v>181</v>
      </c>
      <c r="D229" s="26" t="s">
        <v>183</v>
      </c>
      <c r="E229" s="27">
        <v>0</v>
      </c>
      <c r="F229" s="42">
        <v>300</v>
      </c>
      <c r="G229" s="29"/>
      <c r="H229" s="30">
        <v>160</v>
      </c>
      <c r="I229" s="30">
        <v>140</v>
      </c>
      <c r="J229" s="30">
        <f t="shared" si="17"/>
        <v>87.5</v>
      </c>
    </row>
    <row r="230" spans="1:10" ht="68.25" customHeight="1" outlineLevel="3">
      <c r="A230" s="38" t="s">
        <v>184</v>
      </c>
      <c r="B230" s="26" t="s">
        <v>33</v>
      </c>
      <c r="C230" s="26" t="s">
        <v>181</v>
      </c>
      <c r="D230" s="26" t="s">
        <v>185</v>
      </c>
      <c r="E230" s="27">
        <v>0</v>
      </c>
      <c r="F230" s="31"/>
      <c r="G230" s="29">
        <f>SUM(G231:G233)</f>
        <v>0</v>
      </c>
      <c r="H230" s="30">
        <f>SUM(H231:H233)</f>
        <v>640.85</v>
      </c>
      <c r="I230" s="30">
        <f>SUM(I231:I233)</f>
        <v>519.05642</v>
      </c>
      <c r="J230" s="30">
        <f t="shared" si="17"/>
        <v>80.99499414839666</v>
      </c>
    </row>
    <row r="231" spans="1:10" ht="86.25" customHeight="1" outlineLevel="2">
      <c r="A231" s="25" t="s">
        <v>23</v>
      </c>
      <c r="B231" s="26" t="s">
        <v>33</v>
      </c>
      <c r="C231" s="26" t="s">
        <v>181</v>
      </c>
      <c r="D231" s="26" t="s">
        <v>185</v>
      </c>
      <c r="E231" s="27">
        <v>0</v>
      </c>
      <c r="F231" s="31">
        <v>100</v>
      </c>
      <c r="G231" s="29"/>
      <c r="H231" s="30">
        <v>600</v>
      </c>
      <c r="I231" s="30">
        <v>478.38489</v>
      </c>
      <c r="J231" s="30">
        <f t="shared" si="17"/>
        <v>79.73081499999999</v>
      </c>
    </row>
    <row r="232" spans="1:10" ht="31.5" outlineLevel="3">
      <c r="A232" s="25" t="s">
        <v>24</v>
      </c>
      <c r="B232" s="26" t="s">
        <v>33</v>
      </c>
      <c r="C232" s="26" t="s">
        <v>181</v>
      </c>
      <c r="D232" s="26" t="s">
        <v>185</v>
      </c>
      <c r="E232" s="27">
        <v>0</v>
      </c>
      <c r="F232" s="31">
        <v>200</v>
      </c>
      <c r="G232" s="29"/>
      <c r="H232" s="30">
        <f>24.8+15.85</f>
        <v>40.65</v>
      </c>
      <c r="I232" s="30">
        <v>40.65</v>
      </c>
      <c r="J232" s="30">
        <f t="shared" si="17"/>
        <v>100</v>
      </c>
    </row>
    <row r="233" spans="1:10" ht="15.75" outlineLevel="3">
      <c r="A233" s="25" t="s">
        <v>27</v>
      </c>
      <c r="B233" s="26" t="s">
        <v>33</v>
      </c>
      <c r="C233" s="26" t="s">
        <v>181</v>
      </c>
      <c r="D233" s="26" t="s">
        <v>185</v>
      </c>
      <c r="E233" s="27">
        <v>0</v>
      </c>
      <c r="F233" s="31">
        <v>800</v>
      </c>
      <c r="G233" s="29"/>
      <c r="H233" s="30">
        <v>0.2</v>
      </c>
      <c r="I233" s="30">
        <v>0.02153</v>
      </c>
      <c r="J233" s="30">
        <f t="shared" si="17"/>
        <v>10.764999999999999</v>
      </c>
    </row>
    <row r="234" spans="1:10" ht="15.75" outlineLevel="1">
      <c r="A234" s="25" t="s">
        <v>186</v>
      </c>
      <c r="B234" s="26" t="s">
        <v>33</v>
      </c>
      <c r="C234" s="26" t="s">
        <v>187</v>
      </c>
      <c r="D234" s="26"/>
      <c r="E234" s="27"/>
      <c r="F234" s="31"/>
      <c r="G234" s="29">
        <f>SUM(G235+G237+G239)</f>
        <v>0</v>
      </c>
      <c r="H234" s="30">
        <f>SUM(H235+H237+H239)</f>
        <v>9286.61937</v>
      </c>
      <c r="I234" s="30">
        <f>SUM(I235+I237+I239)</f>
        <v>8037.010429999999</v>
      </c>
      <c r="J234" s="30">
        <f t="shared" si="17"/>
        <v>86.54398451995561</v>
      </c>
    </row>
    <row r="235" spans="1:10" ht="52.5" customHeight="1" outlineLevel="1">
      <c r="A235" s="25" t="s">
        <v>188</v>
      </c>
      <c r="B235" s="26" t="s">
        <v>33</v>
      </c>
      <c r="C235" s="26" t="s">
        <v>189</v>
      </c>
      <c r="D235" s="26" t="s">
        <v>190</v>
      </c>
      <c r="E235" s="27">
        <v>0</v>
      </c>
      <c r="F235" s="42"/>
      <c r="G235" s="29">
        <f>SUM(G236)</f>
        <v>0</v>
      </c>
      <c r="H235" s="30">
        <f>SUM(H236)</f>
        <v>100</v>
      </c>
      <c r="I235" s="30">
        <f>SUM(I236)</f>
        <v>13.8653</v>
      </c>
      <c r="J235" s="30">
        <f t="shared" si="17"/>
        <v>13.8653</v>
      </c>
    </row>
    <row r="236" spans="1:10" ht="41.25" customHeight="1" outlineLevel="1">
      <c r="A236" s="25" t="s">
        <v>59</v>
      </c>
      <c r="B236" s="26" t="s">
        <v>33</v>
      </c>
      <c r="C236" s="26" t="s">
        <v>189</v>
      </c>
      <c r="D236" s="26" t="s">
        <v>190</v>
      </c>
      <c r="E236" s="27">
        <v>0</v>
      </c>
      <c r="F236" s="42">
        <v>600</v>
      </c>
      <c r="G236" s="29"/>
      <c r="H236" s="30">
        <v>100</v>
      </c>
      <c r="I236" s="30">
        <v>13.8653</v>
      </c>
      <c r="J236" s="30">
        <f t="shared" si="17"/>
        <v>13.8653</v>
      </c>
    </row>
    <row r="237" spans="1:10" ht="50.25" customHeight="1" outlineLevel="1">
      <c r="A237" s="38" t="s">
        <v>191</v>
      </c>
      <c r="B237" s="26" t="s">
        <v>33</v>
      </c>
      <c r="C237" s="26" t="s">
        <v>189</v>
      </c>
      <c r="D237" s="26" t="s">
        <v>192</v>
      </c>
      <c r="E237" s="27">
        <v>0</v>
      </c>
      <c r="F237" s="42"/>
      <c r="G237" s="29">
        <f>SUM(G238)</f>
        <v>0</v>
      </c>
      <c r="H237" s="30">
        <f>SUM(H238)</f>
        <v>200</v>
      </c>
      <c r="I237" s="30">
        <f>SUM(I238)</f>
        <v>68.306</v>
      </c>
      <c r="J237" s="30">
        <f t="shared" si="17"/>
        <v>34.153</v>
      </c>
    </row>
    <row r="238" spans="1:10" ht="35.25" customHeight="1" outlineLevel="1">
      <c r="A238" s="25" t="s">
        <v>59</v>
      </c>
      <c r="B238" s="26" t="s">
        <v>33</v>
      </c>
      <c r="C238" s="26" t="s">
        <v>189</v>
      </c>
      <c r="D238" s="26" t="s">
        <v>192</v>
      </c>
      <c r="E238" s="27">
        <v>0</v>
      </c>
      <c r="F238" s="42">
        <v>600</v>
      </c>
      <c r="G238" s="29"/>
      <c r="H238" s="30">
        <v>200</v>
      </c>
      <c r="I238" s="30">
        <v>68.306</v>
      </c>
      <c r="J238" s="30">
        <f t="shared" si="17"/>
        <v>34.153</v>
      </c>
    </row>
    <row r="239" spans="1:10" ht="52.5" customHeight="1" outlineLevel="1">
      <c r="A239" s="38" t="s">
        <v>193</v>
      </c>
      <c r="B239" s="26" t="s">
        <v>33</v>
      </c>
      <c r="C239" s="26" t="s">
        <v>187</v>
      </c>
      <c r="D239" s="26" t="s">
        <v>194</v>
      </c>
      <c r="E239" s="27">
        <v>0</v>
      </c>
      <c r="F239" s="31"/>
      <c r="G239" s="29">
        <f>SUM(G240+G243+G245+G249+G251)</f>
        <v>0</v>
      </c>
      <c r="H239" s="30">
        <f>SUM(H240+H243+H245+H249+H251)</f>
        <v>8986.61937</v>
      </c>
      <c r="I239" s="30">
        <f>SUM(I240+I243+I245+I249+I251)</f>
        <v>7954.839129999999</v>
      </c>
      <c r="J239" s="30">
        <f t="shared" si="17"/>
        <v>88.5187054495221</v>
      </c>
    </row>
    <row r="240" spans="1:10" ht="31.5" outlineLevel="5">
      <c r="A240" s="38" t="s">
        <v>195</v>
      </c>
      <c r="B240" s="26" t="s">
        <v>33</v>
      </c>
      <c r="C240" s="26" t="s">
        <v>189</v>
      </c>
      <c r="D240" s="26" t="s">
        <v>194</v>
      </c>
      <c r="E240" s="27">
        <v>0</v>
      </c>
      <c r="F240" s="31"/>
      <c r="G240" s="29">
        <f>SUM(G241:G242)</f>
        <v>0</v>
      </c>
      <c r="H240" s="30">
        <f>SUM(H241:H242)</f>
        <v>6301.61937</v>
      </c>
      <c r="I240" s="30">
        <f>SUM(I241:I242)</f>
        <v>5807.90635</v>
      </c>
      <c r="J240" s="30">
        <f t="shared" si="17"/>
        <v>92.16529925069085</v>
      </c>
    </row>
    <row r="241" spans="1:10" ht="36.75" customHeight="1" outlineLevel="3">
      <c r="A241" s="25" t="s">
        <v>59</v>
      </c>
      <c r="B241" s="26" t="s">
        <v>33</v>
      </c>
      <c r="C241" s="26" t="s">
        <v>189</v>
      </c>
      <c r="D241" s="26" t="s">
        <v>194</v>
      </c>
      <c r="E241" s="27">
        <v>0</v>
      </c>
      <c r="F241" s="31">
        <v>600</v>
      </c>
      <c r="G241" s="29"/>
      <c r="H241" s="30">
        <f>5915+80+300</f>
        <v>6295</v>
      </c>
      <c r="I241" s="30">
        <v>5801.28698</v>
      </c>
      <c r="J241" s="30">
        <f t="shared" si="17"/>
        <v>92.15706084193805</v>
      </c>
    </row>
    <row r="242" spans="1:10" ht="33" customHeight="1" outlineLevel="2">
      <c r="A242" s="25" t="s">
        <v>140</v>
      </c>
      <c r="B242" s="26" t="s">
        <v>33</v>
      </c>
      <c r="C242" s="26" t="s">
        <v>189</v>
      </c>
      <c r="D242" s="26" t="s">
        <v>194</v>
      </c>
      <c r="E242" s="27">
        <v>0</v>
      </c>
      <c r="F242" s="31">
        <v>600</v>
      </c>
      <c r="G242" s="29"/>
      <c r="H242" s="30">
        <f>37.6-30.98063</f>
        <v>6.61937</v>
      </c>
      <c r="I242" s="30">
        <v>6.61937</v>
      </c>
      <c r="J242" s="30">
        <f t="shared" si="17"/>
        <v>100</v>
      </c>
    </row>
    <row r="243" spans="1:10" ht="15.75" outlineLevel="5">
      <c r="A243" s="38" t="s">
        <v>196</v>
      </c>
      <c r="B243" s="26" t="s">
        <v>33</v>
      </c>
      <c r="C243" s="26" t="s">
        <v>189</v>
      </c>
      <c r="D243" s="26" t="s">
        <v>194</v>
      </c>
      <c r="E243" s="27">
        <v>0</v>
      </c>
      <c r="F243" s="42"/>
      <c r="G243" s="29">
        <f>SUM(G244)</f>
        <v>0</v>
      </c>
      <c r="H243" s="30">
        <f>SUM(H244)</f>
        <v>722</v>
      </c>
      <c r="I243" s="30">
        <f>SUM(I244)</f>
        <v>499.57526</v>
      </c>
      <c r="J243" s="30">
        <f t="shared" si="17"/>
        <v>69.19324930747922</v>
      </c>
    </row>
    <row r="244" spans="1:10" ht="39" customHeight="1" outlineLevel="1">
      <c r="A244" s="25" t="s">
        <v>59</v>
      </c>
      <c r="B244" s="26" t="s">
        <v>33</v>
      </c>
      <c r="C244" s="26" t="s">
        <v>189</v>
      </c>
      <c r="D244" s="26" t="s">
        <v>194</v>
      </c>
      <c r="E244" s="27">
        <v>0</v>
      </c>
      <c r="F244" s="42">
        <v>600</v>
      </c>
      <c r="G244" s="29"/>
      <c r="H244" s="30">
        <v>722</v>
      </c>
      <c r="I244" s="30">
        <v>499.57526</v>
      </c>
      <c r="J244" s="30">
        <f t="shared" si="17"/>
        <v>69.19324930747922</v>
      </c>
    </row>
    <row r="245" spans="1:10" ht="15.75" outlineLevel="2">
      <c r="A245" s="38" t="s">
        <v>197</v>
      </c>
      <c r="B245" s="26" t="s">
        <v>33</v>
      </c>
      <c r="C245" s="26" t="s">
        <v>189</v>
      </c>
      <c r="D245" s="26" t="s">
        <v>194</v>
      </c>
      <c r="E245" s="27">
        <v>0</v>
      </c>
      <c r="F245" s="42"/>
      <c r="G245" s="29">
        <f>SUM(G246:G247)</f>
        <v>0</v>
      </c>
      <c r="H245" s="30">
        <f>SUM(H246:H247)</f>
        <v>895</v>
      </c>
      <c r="I245" s="30">
        <f>SUM(I246:I247)</f>
        <v>762.41249</v>
      </c>
      <c r="J245" s="30">
        <f t="shared" si="17"/>
        <v>85.1857530726257</v>
      </c>
    </row>
    <row r="246" spans="1:10" ht="36.75" customHeight="1" outlineLevel="5">
      <c r="A246" s="25" t="s">
        <v>59</v>
      </c>
      <c r="B246" s="26" t="s">
        <v>33</v>
      </c>
      <c r="C246" s="26" t="s">
        <v>189</v>
      </c>
      <c r="D246" s="26" t="s">
        <v>194</v>
      </c>
      <c r="E246" s="27">
        <v>0</v>
      </c>
      <c r="F246" s="42">
        <v>600</v>
      </c>
      <c r="G246" s="29"/>
      <c r="H246" s="30">
        <v>895</v>
      </c>
      <c r="I246" s="30">
        <v>762.41249</v>
      </c>
      <c r="J246" s="30">
        <f t="shared" si="17"/>
        <v>85.1857530726257</v>
      </c>
    </row>
    <row r="247" spans="1:10" ht="31.5" outlineLevel="3">
      <c r="A247" s="38" t="s">
        <v>198</v>
      </c>
      <c r="B247" s="26" t="s">
        <v>33</v>
      </c>
      <c r="C247" s="26" t="s">
        <v>189</v>
      </c>
      <c r="D247" s="26" t="s">
        <v>194</v>
      </c>
      <c r="E247" s="27">
        <v>0</v>
      </c>
      <c r="F247" s="42"/>
      <c r="G247" s="29">
        <f>SUM(G248)</f>
        <v>0</v>
      </c>
      <c r="H247" s="30">
        <f>SUM(H248)</f>
        <v>0</v>
      </c>
      <c r="I247" s="30">
        <f>SUM(I248)</f>
        <v>0</v>
      </c>
      <c r="J247" s="30">
        <v>0</v>
      </c>
    </row>
    <row r="248" spans="1:10" ht="64.5" customHeight="1" outlineLevel="3">
      <c r="A248" s="38" t="s">
        <v>199</v>
      </c>
      <c r="B248" s="26" t="s">
        <v>33</v>
      </c>
      <c r="C248" s="26" t="s">
        <v>189</v>
      </c>
      <c r="D248" s="26" t="s">
        <v>194</v>
      </c>
      <c r="E248" s="27">
        <v>0</v>
      </c>
      <c r="F248" s="42">
        <v>600</v>
      </c>
      <c r="G248" s="29"/>
      <c r="H248" s="30">
        <v>0</v>
      </c>
      <c r="I248" s="30">
        <v>0</v>
      </c>
      <c r="J248" s="30">
        <v>0</v>
      </c>
    </row>
    <row r="249" spans="1:10" ht="15.75" outlineLevel="3">
      <c r="A249" s="38" t="s">
        <v>200</v>
      </c>
      <c r="B249" s="26" t="s">
        <v>33</v>
      </c>
      <c r="C249" s="26" t="s">
        <v>201</v>
      </c>
      <c r="D249" s="26" t="s">
        <v>194</v>
      </c>
      <c r="E249" s="27">
        <v>0</v>
      </c>
      <c r="F249" s="42"/>
      <c r="G249" s="29">
        <f>SUM(G250)</f>
        <v>0</v>
      </c>
      <c r="H249" s="30">
        <f>SUM(H250)</f>
        <v>259</v>
      </c>
      <c r="I249" s="30">
        <f>SUM(I250)</f>
        <v>176.11486</v>
      </c>
      <c r="J249" s="30">
        <f t="shared" si="17"/>
        <v>67.99801544401544</v>
      </c>
    </row>
    <row r="250" spans="1:10" ht="38.25" customHeight="1" outlineLevel="3">
      <c r="A250" s="25" t="s">
        <v>59</v>
      </c>
      <c r="B250" s="26" t="s">
        <v>33</v>
      </c>
      <c r="C250" s="26" t="s">
        <v>201</v>
      </c>
      <c r="D250" s="26" t="s">
        <v>194</v>
      </c>
      <c r="E250" s="27">
        <v>0</v>
      </c>
      <c r="F250" s="42">
        <v>600</v>
      </c>
      <c r="G250" s="29"/>
      <c r="H250" s="30">
        <v>259</v>
      </c>
      <c r="I250" s="30">
        <v>176.11486</v>
      </c>
      <c r="J250" s="30">
        <f t="shared" si="17"/>
        <v>67.99801544401544</v>
      </c>
    </row>
    <row r="251" spans="1:10" ht="31.5">
      <c r="A251" s="38" t="s">
        <v>202</v>
      </c>
      <c r="B251" s="26" t="s">
        <v>33</v>
      </c>
      <c r="C251" s="26" t="s">
        <v>203</v>
      </c>
      <c r="D251" s="26" t="s">
        <v>194</v>
      </c>
      <c r="E251" s="27">
        <v>0</v>
      </c>
      <c r="F251" s="42"/>
      <c r="G251" s="29">
        <f>SUM(G252)</f>
        <v>0</v>
      </c>
      <c r="H251" s="30">
        <f>SUM(H252)</f>
        <v>809</v>
      </c>
      <c r="I251" s="30">
        <f>SUM(I252)</f>
        <v>708.83017</v>
      </c>
      <c r="J251" s="30">
        <f t="shared" si="17"/>
        <v>87.61806798516687</v>
      </c>
    </row>
    <row r="252" spans="1:10" ht="37.5" customHeight="1" outlineLevel="5">
      <c r="A252" s="25" t="s">
        <v>59</v>
      </c>
      <c r="B252" s="26" t="s">
        <v>33</v>
      </c>
      <c r="C252" s="26" t="s">
        <v>203</v>
      </c>
      <c r="D252" s="26" t="s">
        <v>194</v>
      </c>
      <c r="E252" s="27">
        <v>0</v>
      </c>
      <c r="F252" s="42">
        <v>600</v>
      </c>
      <c r="G252" s="29"/>
      <c r="H252" s="30">
        <f>709+100</f>
        <v>809</v>
      </c>
      <c r="I252" s="30">
        <v>708.83017</v>
      </c>
      <c r="J252" s="30">
        <f t="shared" si="17"/>
        <v>87.61806798516687</v>
      </c>
    </row>
    <row r="253" spans="1:10" ht="15.75" outlineLevel="5">
      <c r="A253" s="25" t="s">
        <v>204</v>
      </c>
      <c r="B253" s="26" t="s">
        <v>33</v>
      </c>
      <c r="C253" s="26" t="s">
        <v>205</v>
      </c>
      <c r="D253" s="26"/>
      <c r="E253" s="27"/>
      <c r="F253" s="31"/>
      <c r="G253" s="29">
        <f>SUM(G254+G257+G268)</f>
        <v>471.36</v>
      </c>
      <c r="H253" s="30">
        <f>SUM(H254+H257+H268)</f>
        <v>19323.42</v>
      </c>
      <c r="I253" s="30">
        <f>SUM(I254+I257+I268)</f>
        <v>15171.36867</v>
      </c>
      <c r="J253" s="30">
        <f t="shared" si="17"/>
        <v>78.51285471205408</v>
      </c>
    </row>
    <row r="254" spans="1:10" ht="47.25" outlineLevel="5">
      <c r="A254" s="25" t="s">
        <v>206</v>
      </c>
      <c r="B254" s="26" t="s">
        <v>33</v>
      </c>
      <c r="C254" s="26" t="s">
        <v>207</v>
      </c>
      <c r="D254" s="26"/>
      <c r="E254" s="27"/>
      <c r="F254" s="31"/>
      <c r="G254" s="29">
        <f aca="true" t="shared" si="18" ref="G254:I255">SUM(G255)</f>
        <v>0</v>
      </c>
      <c r="H254" s="30">
        <f t="shared" si="18"/>
        <v>1400</v>
      </c>
      <c r="I254" s="30">
        <f t="shared" si="18"/>
        <v>739.99733</v>
      </c>
      <c r="J254" s="30">
        <f t="shared" si="17"/>
        <v>52.85695214285715</v>
      </c>
    </row>
    <row r="255" spans="1:10" ht="47.25" outlineLevel="5">
      <c r="A255" s="25" t="s">
        <v>25</v>
      </c>
      <c r="B255" s="26" t="s">
        <v>33</v>
      </c>
      <c r="C255" s="26" t="s">
        <v>207</v>
      </c>
      <c r="D255" s="26" t="s">
        <v>26</v>
      </c>
      <c r="E255" s="27">
        <v>0</v>
      </c>
      <c r="F255" s="31"/>
      <c r="G255" s="29">
        <f t="shared" si="18"/>
        <v>0</v>
      </c>
      <c r="H255" s="30">
        <f t="shared" si="18"/>
        <v>1400</v>
      </c>
      <c r="I255" s="30">
        <f t="shared" si="18"/>
        <v>739.99733</v>
      </c>
      <c r="J255" s="30">
        <f t="shared" si="17"/>
        <v>52.85695214285715</v>
      </c>
    </row>
    <row r="256" spans="1:10" ht="25.5" customHeight="1" outlineLevel="5">
      <c r="A256" s="25" t="s">
        <v>104</v>
      </c>
      <c r="B256" s="26" t="s">
        <v>33</v>
      </c>
      <c r="C256" s="26" t="s">
        <v>207</v>
      </c>
      <c r="D256" s="26" t="s">
        <v>26</v>
      </c>
      <c r="E256" s="27">
        <v>0</v>
      </c>
      <c r="F256" s="31">
        <v>300</v>
      </c>
      <c r="G256" s="29"/>
      <c r="H256" s="30">
        <v>1400</v>
      </c>
      <c r="I256" s="30">
        <v>739.99733</v>
      </c>
      <c r="J256" s="30">
        <f t="shared" si="17"/>
        <v>52.85695214285715</v>
      </c>
    </row>
    <row r="257" spans="1:10" ht="15.75" outlineLevel="5">
      <c r="A257" s="25" t="s">
        <v>208</v>
      </c>
      <c r="B257" s="26" t="s">
        <v>33</v>
      </c>
      <c r="C257" s="26" t="s">
        <v>209</v>
      </c>
      <c r="D257" s="26"/>
      <c r="E257" s="27"/>
      <c r="F257" s="31"/>
      <c r="G257" s="29">
        <f>SUM(G258+G260)</f>
        <v>471.36</v>
      </c>
      <c r="H257" s="30">
        <f>SUM(H258+H260)</f>
        <v>11970.619999999999</v>
      </c>
      <c r="I257" s="30">
        <f>SUM(I258+I260)</f>
        <v>9730.139099999999</v>
      </c>
      <c r="J257" s="30">
        <f t="shared" si="17"/>
        <v>81.28350160643308</v>
      </c>
    </row>
    <row r="258" spans="1:10" ht="101.25" customHeight="1" outlineLevel="5">
      <c r="A258" s="25" t="s">
        <v>210</v>
      </c>
      <c r="B258" s="26" t="s">
        <v>33</v>
      </c>
      <c r="C258" s="26" t="s">
        <v>209</v>
      </c>
      <c r="D258" s="26" t="s">
        <v>211</v>
      </c>
      <c r="E258" s="27">
        <v>0</v>
      </c>
      <c r="F258" s="31"/>
      <c r="G258" s="29">
        <f>SUM(G259)</f>
        <v>0</v>
      </c>
      <c r="H258" s="30">
        <f>SUM(H259)</f>
        <v>495</v>
      </c>
      <c r="I258" s="30">
        <f>SUM(I259)</f>
        <v>287.991</v>
      </c>
      <c r="J258" s="30">
        <f t="shared" si="17"/>
        <v>58.18</v>
      </c>
    </row>
    <row r="259" spans="1:10" ht="31.5" outlineLevel="5">
      <c r="A259" s="25" t="s">
        <v>104</v>
      </c>
      <c r="B259" s="26" t="s">
        <v>33</v>
      </c>
      <c r="C259" s="26" t="s">
        <v>209</v>
      </c>
      <c r="D259" s="26" t="s">
        <v>211</v>
      </c>
      <c r="E259" s="27">
        <v>0</v>
      </c>
      <c r="F259" s="31">
        <v>300</v>
      </c>
      <c r="G259" s="29"/>
      <c r="H259" s="30">
        <v>495</v>
      </c>
      <c r="I259" s="30">
        <v>287.991</v>
      </c>
      <c r="J259" s="30">
        <f t="shared" si="17"/>
        <v>58.18</v>
      </c>
    </row>
    <row r="260" spans="1:10" ht="47.25" outlineLevel="5">
      <c r="A260" s="25" t="s">
        <v>25</v>
      </c>
      <c r="B260" s="26" t="s">
        <v>33</v>
      </c>
      <c r="C260" s="26" t="s">
        <v>209</v>
      </c>
      <c r="D260" s="26" t="s">
        <v>26</v>
      </c>
      <c r="E260" s="27">
        <v>0</v>
      </c>
      <c r="F260" s="31"/>
      <c r="G260" s="29">
        <f>SUM(G261+G265+G266+G267)</f>
        <v>471.36</v>
      </c>
      <c r="H260" s="30">
        <f>SUM(H261+H265+H266+H267)</f>
        <v>11475.619999999999</v>
      </c>
      <c r="I260" s="30">
        <f>SUM(I261+I265+I266+I267)</f>
        <v>9442.148099999999</v>
      </c>
      <c r="J260" s="30">
        <f t="shared" si="17"/>
        <v>82.28006939930043</v>
      </c>
    </row>
    <row r="261" spans="1:10" ht="145.5" customHeight="1" outlineLevel="5">
      <c r="A261" s="25" t="s">
        <v>212</v>
      </c>
      <c r="B261" s="26" t="s">
        <v>33</v>
      </c>
      <c r="C261" s="26" t="s">
        <v>209</v>
      </c>
      <c r="D261" s="26" t="s">
        <v>26</v>
      </c>
      <c r="E261" s="27">
        <v>0</v>
      </c>
      <c r="F261" s="31"/>
      <c r="G261" s="29">
        <f>SUM(G262:G264)</f>
        <v>471.36</v>
      </c>
      <c r="H261" s="30">
        <f>SUM(H262:H264)</f>
        <v>7524.219999999999</v>
      </c>
      <c r="I261" s="30">
        <f>SUM(I262:I264)</f>
        <v>6949.525449999999</v>
      </c>
      <c r="J261" s="30">
        <f t="shared" si="17"/>
        <v>92.3620714173695</v>
      </c>
    </row>
    <row r="262" spans="1:10" ht="25.5" customHeight="1" outlineLevel="5">
      <c r="A262" s="25" t="s">
        <v>104</v>
      </c>
      <c r="B262" s="26" t="s">
        <v>33</v>
      </c>
      <c r="C262" s="26" t="s">
        <v>209</v>
      </c>
      <c r="D262" s="26" t="s">
        <v>26</v>
      </c>
      <c r="E262" s="27">
        <v>0</v>
      </c>
      <c r="F262" s="31">
        <v>300</v>
      </c>
      <c r="G262" s="29">
        <f>243.65049</f>
        <v>243.65049</v>
      </c>
      <c r="H262" s="30">
        <f>4525.861-54.128+1556.99097+130.68976+75.54264+79.07619+243.65049</f>
        <v>6557.68305</v>
      </c>
      <c r="I262" s="30">
        <v>6369.49512</v>
      </c>
      <c r="J262" s="30">
        <f t="shared" si="17"/>
        <v>97.13026798390325</v>
      </c>
    </row>
    <row r="263" spans="1:10" ht="81.75" customHeight="1" outlineLevel="5">
      <c r="A263" s="25" t="s">
        <v>23</v>
      </c>
      <c r="B263" s="26" t="s">
        <v>33</v>
      </c>
      <c r="C263" s="26" t="s">
        <v>209</v>
      </c>
      <c r="D263" s="26" t="s">
        <v>26</v>
      </c>
      <c r="E263" s="27">
        <v>0</v>
      </c>
      <c r="F263" s="31">
        <v>100</v>
      </c>
      <c r="G263" s="29">
        <v>225.273</v>
      </c>
      <c r="H263" s="30">
        <f>643.2+79.756+12.644-295.045+222.282+225.273</f>
        <v>888.11</v>
      </c>
      <c r="I263" s="30">
        <v>503.54328</v>
      </c>
      <c r="J263" s="30">
        <f t="shared" si="17"/>
        <v>56.698300886151486</v>
      </c>
    </row>
    <row r="264" spans="1:10" ht="31.5" outlineLevel="5">
      <c r="A264" s="25" t="s">
        <v>24</v>
      </c>
      <c r="B264" s="26" t="s">
        <v>33</v>
      </c>
      <c r="C264" s="26" t="s">
        <v>209</v>
      </c>
      <c r="D264" s="26" t="s">
        <v>26</v>
      </c>
      <c r="E264" s="27">
        <v>0</v>
      </c>
      <c r="F264" s="31">
        <v>200</v>
      </c>
      <c r="G264" s="29">
        <v>2.43651</v>
      </c>
      <c r="H264" s="30">
        <f>87.7+81.083+41.98-0.536-139.94597+1.31024+0.75736+3.64181+2.43651</f>
        <v>78.42695000000002</v>
      </c>
      <c r="I264" s="30">
        <v>76.48705</v>
      </c>
      <c r="J264" s="30">
        <f t="shared" si="17"/>
        <v>97.52648802484347</v>
      </c>
    </row>
    <row r="265" spans="1:10" ht="122.25" customHeight="1" outlineLevel="5">
      <c r="A265" s="25" t="s">
        <v>213</v>
      </c>
      <c r="B265" s="26" t="s">
        <v>33</v>
      </c>
      <c r="C265" s="26" t="s">
        <v>209</v>
      </c>
      <c r="D265" s="26" t="s">
        <v>26</v>
      </c>
      <c r="E265" s="27">
        <v>0</v>
      </c>
      <c r="F265" s="31">
        <v>300</v>
      </c>
      <c r="G265" s="29"/>
      <c r="H265" s="30">
        <v>1447.5</v>
      </c>
      <c r="I265" s="30">
        <v>535.24944</v>
      </c>
      <c r="J265" s="30">
        <f t="shared" si="17"/>
        <v>36.97750880829016</v>
      </c>
    </row>
    <row r="266" spans="1:10" ht="114.75" customHeight="1" outlineLevel="5">
      <c r="A266" s="25" t="s">
        <v>214</v>
      </c>
      <c r="B266" s="26" t="s">
        <v>33</v>
      </c>
      <c r="C266" s="26" t="s">
        <v>209</v>
      </c>
      <c r="D266" s="26" t="s">
        <v>26</v>
      </c>
      <c r="E266" s="27">
        <v>0</v>
      </c>
      <c r="F266" s="31">
        <v>300</v>
      </c>
      <c r="G266" s="29"/>
      <c r="H266" s="30">
        <v>18.6</v>
      </c>
      <c r="I266" s="30">
        <v>11.85385</v>
      </c>
      <c r="J266" s="30">
        <f aca="true" t="shared" si="19" ref="J266:J293">SUM(I266/H266)*100</f>
        <v>63.73037634408602</v>
      </c>
    </row>
    <row r="267" spans="1:10" ht="137.25" customHeight="1" outlineLevel="5">
      <c r="A267" s="25" t="s">
        <v>215</v>
      </c>
      <c r="B267" s="26" t="s">
        <v>33</v>
      </c>
      <c r="C267" s="26" t="s">
        <v>209</v>
      </c>
      <c r="D267" s="26" t="s">
        <v>26</v>
      </c>
      <c r="E267" s="27">
        <v>0</v>
      </c>
      <c r="F267" s="31">
        <v>300</v>
      </c>
      <c r="G267" s="29"/>
      <c r="H267" s="30">
        <v>2485.3</v>
      </c>
      <c r="I267" s="30">
        <v>1945.51936</v>
      </c>
      <c r="J267" s="30">
        <f t="shared" si="19"/>
        <v>78.28106707439744</v>
      </c>
    </row>
    <row r="268" spans="1:10" ht="15.75">
      <c r="A268" s="25" t="s">
        <v>216</v>
      </c>
      <c r="B268" s="26" t="s">
        <v>33</v>
      </c>
      <c r="C268" s="26" t="s">
        <v>217</v>
      </c>
      <c r="D268" s="26"/>
      <c r="E268" s="27"/>
      <c r="F268" s="31"/>
      <c r="G268" s="29">
        <f>SUM(G269)</f>
        <v>0</v>
      </c>
      <c r="H268" s="30">
        <f>SUM(H269)</f>
        <v>5952.8</v>
      </c>
      <c r="I268" s="30">
        <f>SUM(I269)</f>
        <v>4701.23224</v>
      </c>
      <c r="J268" s="30">
        <f t="shared" si="19"/>
        <v>78.97514178201854</v>
      </c>
    </row>
    <row r="269" spans="1:10" ht="47.25">
      <c r="A269" s="25" t="s">
        <v>25</v>
      </c>
      <c r="B269" s="26" t="s">
        <v>33</v>
      </c>
      <c r="C269" s="26" t="s">
        <v>217</v>
      </c>
      <c r="D269" s="26" t="s">
        <v>26</v>
      </c>
      <c r="E269" s="27">
        <v>0</v>
      </c>
      <c r="F269" s="31"/>
      <c r="G269" s="29">
        <f>SUM(G270+G273)</f>
        <v>0</v>
      </c>
      <c r="H269" s="30">
        <f>SUM(H270+H273)</f>
        <v>5952.8</v>
      </c>
      <c r="I269" s="30">
        <f>SUM(I270+I273)</f>
        <v>4701.23224</v>
      </c>
      <c r="J269" s="30">
        <f t="shared" si="19"/>
        <v>78.97514178201854</v>
      </c>
    </row>
    <row r="270" spans="1:10" ht="204.75" customHeight="1">
      <c r="A270" s="25" t="s">
        <v>218</v>
      </c>
      <c r="B270" s="26" t="s">
        <v>33</v>
      </c>
      <c r="C270" s="26" t="s">
        <v>217</v>
      </c>
      <c r="D270" s="26" t="s">
        <v>26</v>
      </c>
      <c r="E270" s="27">
        <v>0</v>
      </c>
      <c r="F270" s="31"/>
      <c r="G270" s="29">
        <f>SUM(G271:G272)</f>
        <v>0</v>
      </c>
      <c r="H270" s="30">
        <f>SUM(H271:H272)</f>
        <v>1085</v>
      </c>
      <c r="I270" s="30">
        <f>SUM(I271:I272)</f>
        <v>849.63224</v>
      </c>
      <c r="J270" s="30">
        <f t="shared" si="19"/>
        <v>78.30711889400922</v>
      </c>
    </row>
    <row r="271" spans="1:10" ht="15.75">
      <c r="A271" s="25" t="s">
        <v>219</v>
      </c>
      <c r="B271" s="26" t="s">
        <v>33</v>
      </c>
      <c r="C271" s="26" t="s">
        <v>217</v>
      </c>
      <c r="D271" s="26" t="s">
        <v>26</v>
      </c>
      <c r="E271" s="27">
        <v>0</v>
      </c>
      <c r="F271" s="31">
        <v>300</v>
      </c>
      <c r="G271" s="29"/>
      <c r="H271" s="30">
        <f>1174.75-100.5</f>
        <v>1074.25</v>
      </c>
      <c r="I271" s="30">
        <v>841.24797</v>
      </c>
      <c r="J271" s="30">
        <f t="shared" si="19"/>
        <v>78.310260181522</v>
      </c>
    </row>
    <row r="272" spans="1:10" ht="31.5">
      <c r="A272" s="25" t="s">
        <v>24</v>
      </c>
      <c r="B272" s="26" t="s">
        <v>33</v>
      </c>
      <c r="C272" s="26" t="s">
        <v>217</v>
      </c>
      <c r="D272" s="26" t="s">
        <v>26</v>
      </c>
      <c r="E272" s="27">
        <v>0</v>
      </c>
      <c r="F272" s="31">
        <v>200</v>
      </c>
      <c r="G272" s="29"/>
      <c r="H272" s="30">
        <f>11.75-1</f>
        <v>10.75</v>
      </c>
      <c r="I272" s="30">
        <v>8.38427</v>
      </c>
      <c r="J272" s="30">
        <f t="shared" si="19"/>
        <v>77.99320930232558</v>
      </c>
    </row>
    <row r="273" spans="1:10" ht="173.25" customHeight="1">
      <c r="A273" s="25" t="s">
        <v>220</v>
      </c>
      <c r="B273" s="26" t="s">
        <v>33</v>
      </c>
      <c r="C273" s="26" t="s">
        <v>217</v>
      </c>
      <c r="D273" s="26" t="s">
        <v>26</v>
      </c>
      <c r="E273" s="27">
        <v>0</v>
      </c>
      <c r="F273" s="31"/>
      <c r="G273" s="29">
        <f>SUM(G274:G275)</f>
        <v>0</v>
      </c>
      <c r="H273" s="30">
        <f>SUM(H274:H275)</f>
        <v>4867.8</v>
      </c>
      <c r="I273" s="30">
        <f>SUM(I274:I275)</f>
        <v>3851.6</v>
      </c>
      <c r="J273" s="30">
        <f t="shared" si="19"/>
        <v>79.12403960721475</v>
      </c>
    </row>
    <row r="274" spans="1:10" ht="23.25" customHeight="1">
      <c r="A274" s="25" t="s">
        <v>221</v>
      </c>
      <c r="B274" s="26" t="s">
        <v>33</v>
      </c>
      <c r="C274" s="26" t="s">
        <v>217</v>
      </c>
      <c r="D274" s="26" t="s">
        <v>26</v>
      </c>
      <c r="E274" s="27">
        <v>0</v>
      </c>
      <c r="F274" s="31">
        <v>300</v>
      </c>
      <c r="G274" s="29"/>
      <c r="H274" s="30">
        <f>2031.6+118.4+360+1695.8</f>
        <v>4205.8</v>
      </c>
      <c r="I274" s="30">
        <v>3215.5</v>
      </c>
      <c r="J274" s="30">
        <f t="shared" si="19"/>
        <v>76.45394455276046</v>
      </c>
    </row>
    <row r="275" spans="1:10" ht="48.75" customHeight="1">
      <c r="A275" s="25" t="s">
        <v>222</v>
      </c>
      <c r="B275" s="26" t="s">
        <v>33</v>
      </c>
      <c r="C275" s="26" t="s">
        <v>217</v>
      </c>
      <c r="D275" s="26" t="s">
        <v>26</v>
      </c>
      <c r="E275" s="27">
        <v>0</v>
      </c>
      <c r="F275" s="31">
        <v>300</v>
      </c>
      <c r="G275" s="29"/>
      <c r="H275" s="30">
        <f>342.9+7.7+71.5+71.5+168.4</f>
        <v>662</v>
      </c>
      <c r="I275" s="30">
        <v>636.1</v>
      </c>
      <c r="J275" s="30">
        <f t="shared" si="19"/>
        <v>96.08761329305136</v>
      </c>
    </row>
    <row r="276" spans="1:10" ht="15.75">
      <c r="A276" s="25" t="s">
        <v>223</v>
      </c>
      <c r="B276" s="26" t="s">
        <v>33</v>
      </c>
      <c r="C276" s="26" t="s">
        <v>224</v>
      </c>
      <c r="D276" s="26"/>
      <c r="E276" s="27"/>
      <c r="F276" s="31"/>
      <c r="G276" s="29">
        <f aca="true" t="shared" si="20" ref="G276:I277">SUM(G277)</f>
        <v>0</v>
      </c>
      <c r="H276" s="30">
        <f t="shared" si="20"/>
        <v>760</v>
      </c>
      <c r="I276" s="30">
        <f t="shared" si="20"/>
        <v>637.34477</v>
      </c>
      <c r="J276" s="30">
        <f t="shared" si="19"/>
        <v>83.86115394736842</v>
      </c>
    </row>
    <row r="277" spans="1:10" ht="46.5" customHeight="1">
      <c r="A277" s="25" t="s">
        <v>146</v>
      </c>
      <c r="B277" s="26" t="s">
        <v>33</v>
      </c>
      <c r="C277" s="26" t="s">
        <v>225</v>
      </c>
      <c r="D277" s="26" t="s">
        <v>147</v>
      </c>
      <c r="E277" s="27">
        <v>0</v>
      </c>
      <c r="F277" s="31"/>
      <c r="G277" s="29">
        <f t="shared" si="20"/>
        <v>0</v>
      </c>
      <c r="H277" s="30">
        <f t="shared" si="20"/>
        <v>760</v>
      </c>
      <c r="I277" s="30">
        <f t="shared" si="20"/>
        <v>637.34477</v>
      </c>
      <c r="J277" s="30">
        <f t="shared" si="19"/>
        <v>83.86115394736842</v>
      </c>
    </row>
    <row r="278" spans="1:10" ht="31.5">
      <c r="A278" s="25" t="s">
        <v>24</v>
      </c>
      <c r="B278" s="26" t="s">
        <v>33</v>
      </c>
      <c r="C278" s="26" t="s">
        <v>225</v>
      </c>
      <c r="D278" s="26" t="s">
        <v>147</v>
      </c>
      <c r="E278" s="27">
        <v>0</v>
      </c>
      <c r="F278" s="31">
        <v>200</v>
      </c>
      <c r="G278" s="29"/>
      <c r="H278" s="30">
        <f>700+60</f>
        <v>760</v>
      </c>
      <c r="I278" s="30">
        <v>637.34477</v>
      </c>
      <c r="J278" s="30">
        <f t="shared" si="19"/>
        <v>83.86115394736842</v>
      </c>
    </row>
    <row r="279" spans="1:10" ht="15.75">
      <c r="A279" s="25" t="s">
        <v>226</v>
      </c>
      <c r="B279" s="26" t="s">
        <v>33</v>
      </c>
      <c r="C279" s="26" t="s">
        <v>227</v>
      </c>
      <c r="D279" s="26"/>
      <c r="E279" s="27"/>
      <c r="F279" s="31"/>
      <c r="G279" s="29">
        <f>SUM(G280+G281)</f>
        <v>0</v>
      </c>
      <c r="H279" s="30">
        <f>SUM(H282)</f>
        <v>1877.551</v>
      </c>
      <c r="I279" s="30">
        <f>SUM(I282)</f>
        <v>1520.551</v>
      </c>
      <c r="J279" s="30">
        <f t="shared" si="19"/>
        <v>80.98586935854206</v>
      </c>
    </row>
    <row r="280" spans="1:10" ht="15.75">
      <c r="A280" s="25" t="s">
        <v>228</v>
      </c>
      <c r="B280" s="26" t="s">
        <v>33</v>
      </c>
      <c r="C280" s="26" t="s">
        <v>229</v>
      </c>
      <c r="D280" s="26"/>
      <c r="E280" s="27"/>
      <c r="F280" s="45"/>
      <c r="G280" s="29"/>
      <c r="H280" s="30">
        <v>0</v>
      </c>
      <c r="I280" s="30">
        <v>0</v>
      </c>
      <c r="J280" s="30">
        <v>0</v>
      </c>
    </row>
    <row r="281" spans="1:10" ht="15.75">
      <c r="A281" s="25" t="s">
        <v>230</v>
      </c>
      <c r="B281" s="26" t="s">
        <v>33</v>
      </c>
      <c r="C281" s="26" t="s">
        <v>231</v>
      </c>
      <c r="D281" s="26"/>
      <c r="E281" s="27"/>
      <c r="F281" s="45"/>
      <c r="G281" s="29">
        <f>SUM(G282)</f>
        <v>0</v>
      </c>
      <c r="H281" s="30">
        <f>SUM(H282)</f>
        <v>1877.551</v>
      </c>
      <c r="I281" s="30">
        <f>SUM(I282)</f>
        <v>1520.551</v>
      </c>
      <c r="J281" s="30">
        <f t="shared" si="19"/>
        <v>80.98586935854206</v>
      </c>
    </row>
    <row r="282" spans="1:10" ht="50.25" customHeight="1">
      <c r="A282" s="25" t="s">
        <v>232</v>
      </c>
      <c r="B282" s="26" t="s">
        <v>33</v>
      </c>
      <c r="C282" s="26" t="s">
        <v>231</v>
      </c>
      <c r="D282" s="26" t="s">
        <v>233</v>
      </c>
      <c r="E282" s="27">
        <v>0</v>
      </c>
      <c r="F282" s="31"/>
      <c r="G282" s="29">
        <f>SUM(G283:G284)</f>
        <v>0</v>
      </c>
      <c r="H282" s="30">
        <f>SUM(H283:H284)</f>
        <v>1877.551</v>
      </c>
      <c r="I282" s="30">
        <f>SUM(I283:I284)</f>
        <v>1520.551</v>
      </c>
      <c r="J282" s="30">
        <f t="shared" si="19"/>
        <v>80.98586935854206</v>
      </c>
    </row>
    <row r="283" spans="1:10" ht="42" customHeight="1">
      <c r="A283" s="25" t="s">
        <v>59</v>
      </c>
      <c r="B283" s="26" t="s">
        <v>33</v>
      </c>
      <c r="C283" s="26" t="s">
        <v>231</v>
      </c>
      <c r="D283" s="26" t="s">
        <v>233</v>
      </c>
      <c r="E283" s="27">
        <v>0</v>
      </c>
      <c r="F283" s="31">
        <v>600</v>
      </c>
      <c r="G283" s="29"/>
      <c r="H283" s="30">
        <v>700</v>
      </c>
      <c r="I283" s="30">
        <v>343</v>
      </c>
      <c r="J283" s="30">
        <f t="shared" si="19"/>
        <v>49</v>
      </c>
    </row>
    <row r="284" spans="1:10" ht="139.5" customHeight="1">
      <c r="A284" s="25" t="s">
        <v>234</v>
      </c>
      <c r="B284" s="26" t="s">
        <v>33</v>
      </c>
      <c r="C284" s="26" t="s">
        <v>231</v>
      </c>
      <c r="D284" s="26" t="s">
        <v>233</v>
      </c>
      <c r="E284" s="27">
        <v>0</v>
      </c>
      <c r="F284" s="31">
        <v>600</v>
      </c>
      <c r="G284" s="29"/>
      <c r="H284" s="30">
        <v>1177.551</v>
      </c>
      <c r="I284" s="30">
        <v>1177.551</v>
      </c>
      <c r="J284" s="30">
        <f t="shared" si="19"/>
        <v>100</v>
      </c>
    </row>
    <row r="285" spans="1:10" ht="31.5">
      <c r="A285" s="25" t="s">
        <v>235</v>
      </c>
      <c r="B285" s="26" t="s">
        <v>33</v>
      </c>
      <c r="C285" s="26" t="s">
        <v>236</v>
      </c>
      <c r="D285" s="26"/>
      <c r="E285" s="27"/>
      <c r="F285" s="31"/>
      <c r="G285" s="29">
        <f>SUM(G288)</f>
        <v>0</v>
      </c>
      <c r="H285" s="30">
        <f>SUM(H288)</f>
        <v>312.5</v>
      </c>
      <c r="I285" s="30">
        <f>SUM(I288)</f>
        <v>0</v>
      </c>
      <c r="J285" s="30">
        <f t="shared" si="19"/>
        <v>0</v>
      </c>
    </row>
    <row r="286" spans="1:10" ht="31.5">
      <c r="A286" s="25" t="s">
        <v>237</v>
      </c>
      <c r="B286" s="26" t="s">
        <v>33</v>
      </c>
      <c r="C286" s="26" t="s">
        <v>238</v>
      </c>
      <c r="D286" s="26"/>
      <c r="E286" s="27"/>
      <c r="F286" s="31"/>
      <c r="G286" s="29">
        <f aca="true" t="shared" si="21" ref="G286:I287">SUM(G287)</f>
        <v>0</v>
      </c>
      <c r="H286" s="30">
        <f t="shared" si="21"/>
        <v>312.5</v>
      </c>
      <c r="I286" s="30">
        <f t="shared" si="21"/>
        <v>0</v>
      </c>
      <c r="J286" s="30">
        <f t="shared" si="19"/>
        <v>0</v>
      </c>
    </row>
    <row r="287" spans="1:10" ht="47.25">
      <c r="A287" s="25" t="s">
        <v>25</v>
      </c>
      <c r="B287" s="26" t="s">
        <v>33</v>
      </c>
      <c r="C287" s="26" t="s">
        <v>238</v>
      </c>
      <c r="D287" s="26" t="s">
        <v>26</v>
      </c>
      <c r="E287" s="27">
        <v>0</v>
      </c>
      <c r="F287" s="31"/>
      <c r="G287" s="29">
        <f t="shared" si="21"/>
        <v>0</v>
      </c>
      <c r="H287" s="30">
        <f t="shared" si="21"/>
        <v>312.5</v>
      </c>
      <c r="I287" s="30">
        <f t="shared" si="21"/>
        <v>0</v>
      </c>
      <c r="J287" s="30">
        <f t="shared" si="19"/>
        <v>0</v>
      </c>
    </row>
    <row r="288" spans="1:10" ht="31.5">
      <c r="A288" s="25" t="s">
        <v>239</v>
      </c>
      <c r="B288" s="26" t="s">
        <v>33</v>
      </c>
      <c r="C288" s="26" t="s">
        <v>238</v>
      </c>
      <c r="D288" s="26" t="s">
        <v>26</v>
      </c>
      <c r="E288" s="27">
        <v>0</v>
      </c>
      <c r="F288" s="31">
        <v>700</v>
      </c>
      <c r="G288" s="29"/>
      <c r="H288" s="30">
        <v>312.5</v>
      </c>
      <c r="I288" s="30">
        <v>0</v>
      </c>
      <c r="J288" s="30">
        <f t="shared" si="19"/>
        <v>0</v>
      </c>
    </row>
    <row r="289" spans="1:10" ht="47.25">
      <c r="A289" s="25" t="s">
        <v>240</v>
      </c>
      <c r="B289" s="26" t="s">
        <v>33</v>
      </c>
      <c r="C289" s="26" t="s">
        <v>241</v>
      </c>
      <c r="D289" s="26"/>
      <c r="E289" s="27"/>
      <c r="F289" s="31"/>
      <c r="G289" s="29">
        <f>SUM(G290)</f>
        <v>0</v>
      </c>
      <c r="H289" s="30">
        <f aca="true" t="shared" si="22" ref="H289:I291">SUM(H290)</f>
        <v>4638</v>
      </c>
      <c r="I289" s="30">
        <f t="shared" si="22"/>
        <v>1656.1</v>
      </c>
      <c r="J289" s="30">
        <f t="shared" si="19"/>
        <v>35.70720137990513</v>
      </c>
    </row>
    <row r="290" spans="1:10" ht="22.5" customHeight="1">
      <c r="A290" s="25" t="s">
        <v>242</v>
      </c>
      <c r="B290" s="26" t="s">
        <v>33</v>
      </c>
      <c r="C290" s="26" t="s">
        <v>243</v>
      </c>
      <c r="D290" s="26"/>
      <c r="E290" s="27"/>
      <c r="F290" s="31"/>
      <c r="G290" s="29">
        <f>SUM(G291)</f>
        <v>0</v>
      </c>
      <c r="H290" s="30">
        <f t="shared" si="22"/>
        <v>4638</v>
      </c>
      <c r="I290" s="30">
        <f t="shared" si="22"/>
        <v>1656.1</v>
      </c>
      <c r="J290" s="30">
        <f t="shared" si="19"/>
        <v>35.70720137990513</v>
      </c>
    </row>
    <row r="291" spans="1:10" ht="47.25">
      <c r="A291" s="25" t="s">
        <v>25</v>
      </c>
      <c r="B291" s="26" t="s">
        <v>33</v>
      </c>
      <c r="C291" s="26" t="s">
        <v>243</v>
      </c>
      <c r="D291" s="26" t="s">
        <v>26</v>
      </c>
      <c r="E291" s="27">
        <v>0</v>
      </c>
      <c r="F291" s="31"/>
      <c r="G291" s="29">
        <f>SUM(G292)</f>
        <v>0</v>
      </c>
      <c r="H291" s="30">
        <f t="shared" si="22"/>
        <v>4638</v>
      </c>
      <c r="I291" s="30">
        <f t="shared" si="22"/>
        <v>1656.1</v>
      </c>
      <c r="J291" s="30">
        <f t="shared" si="19"/>
        <v>35.70720137990513</v>
      </c>
    </row>
    <row r="292" spans="1:10" ht="15.75">
      <c r="A292" s="25" t="s">
        <v>99</v>
      </c>
      <c r="B292" s="26" t="s">
        <v>33</v>
      </c>
      <c r="C292" s="26" t="s">
        <v>243</v>
      </c>
      <c r="D292" s="26" t="s">
        <v>26</v>
      </c>
      <c r="E292" s="27">
        <v>0</v>
      </c>
      <c r="F292" s="31">
        <v>500</v>
      </c>
      <c r="G292" s="29"/>
      <c r="H292" s="30">
        <f>4323+315</f>
        <v>4638</v>
      </c>
      <c r="I292" s="30">
        <v>1656.1</v>
      </c>
      <c r="J292" s="30">
        <f t="shared" si="19"/>
        <v>35.70720137990513</v>
      </c>
    </row>
    <row r="293" spans="1:10" ht="15.75">
      <c r="A293" s="25" t="s">
        <v>244</v>
      </c>
      <c r="B293" s="26"/>
      <c r="C293" s="26"/>
      <c r="D293" s="26"/>
      <c r="E293" s="27"/>
      <c r="F293" s="31"/>
      <c r="G293" s="29">
        <f>SUM(G10+G18+G26)</f>
        <v>471.36</v>
      </c>
      <c r="H293" s="30">
        <f>SUM(H10+H18+H26)</f>
        <v>290074.76797</v>
      </c>
      <c r="I293" s="30">
        <f>SUM(I10+I18+I26)</f>
        <v>216905.03432</v>
      </c>
      <c r="J293" s="30">
        <f t="shared" si="19"/>
        <v>74.77556074178526</v>
      </c>
    </row>
  </sheetData>
  <sheetProtection/>
  <mergeCells count="6">
    <mergeCell ref="A6:J6"/>
    <mergeCell ref="G1:J1"/>
    <mergeCell ref="F2:J2"/>
    <mergeCell ref="F3:J3"/>
    <mergeCell ref="E4:J4"/>
    <mergeCell ref="E5:J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</dc:creator>
  <cp:keywords/>
  <dc:description/>
  <cp:lastModifiedBy>1</cp:lastModifiedBy>
  <dcterms:created xsi:type="dcterms:W3CDTF">2016-10-18T12:49:49Z</dcterms:created>
  <dcterms:modified xsi:type="dcterms:W3CDTF">2016-11-03T07:03:41Z</dcterms:modified>
  <cp:category/>
  <cp:version/>
  <cp:contentType/>
  <cp:contentStatus/>
</cp:coreProperties>
</file>